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925" tabRatio="597" activeTab="0"/>
  </bookViews>
  <sheets>
    <sheet name="content" sheetId="1" r:id="rId1"/>
    <sheet name="T1.1" sheetId="2" r:id="rId2"/>
    <sheet name="T2.1-2" sheetId="3" r:id="rId3"/>
    <sheet name="T3.1-2" sheetId="4" r:id="rId4"/>
    <sheet name="Tab 3.3-4" sheetId="5" r:id="rId5"/>
    <sheet name="T 4.1-2" sheetId="6" r:id="rId6"/>
    <sheet name="T 4.3-4" sheetId="7" r:id="rId7"/>
    <sheet name="T 4.5-6" sheetId="8" r:id="rId8"/>
    <sheet name="T 4.7 " sheetId="9" r:id="rId9"/>
    <sheet name="T 4.8 " sheetId="10" r:id="rId10"/>
    <sheet name="T4.9-10" sheetId="11" r:id="rId11"/>
    <sheet name="T4.11" sheetId="12" r:id="rId12"/>
    <sheet name="T4.12" sheetId="13" r:id="rId13"/>
    <sheet name="T 5.1-2" sheetId="14" r:id="rId14"/>
    <sheet name="T5.3-4" sheetId="15" r:id="rId15"/>
    <sheet name="T5.5-6" sheetId="16" r:id="rId16"/>
    <sheet name="T5.7" sheetId="17" r:id="rId17"/>
    <sheet name="T 5.8 " sheetId="18" r:id="rId18"/>
    <sheet name="T 5.9 -10" sheetId="19" r:id="rId19"/>
    <sheet name="T 5.11 -12" sheetId="20" r:id="rId20"/>
    <sheet name=" T 5.13-14 " sheetId="21" r:id="rId21"/>
    <sheet name="T 5.15" sheetId="22" r:id="rId22"/>
    <sheet name=" T 5.16" sheetId="23" r:id="rId23"/>
    <sheet name="T5.17-18" sheetId="24" r:id="rId24"/>
    <sheet name="T5.19  " sheetId="25" r:id="rId25"/>
    <sheet name="T5.20 " sheetId="26" r:id="rId26"/>
    <sheet name="T6.1(a)" sheetId="27" r:id="rId27"/>
    <sheet name="T6.1(b)" sheetId="28" r:id="rId28"/>
  </sheets>
  <externalReferences>
    <externalReference r:id="rId31"/>
  </externalReferences>
  <definedNames>
    <definedName name="_xlnm.Print_Area" localSheetId="18">'T 5.9 -10'!$A$1:$I$36</definedName>
    <definedName name="_xlnm.Print_Area" localSheetId="25">'T5.20 '!$A$1:$Y$30</definedName>
  </definedNames>
  <calcPr fullCalcOnLoad="1"/>
</workbook>
</file>

<file path=xl/sharedStrings.xml><?xml version="1.0" encoding="utf-8"?>
<sst xmlns="http://schemas.openxmlformats.org/spreadsheetml/2006/main" count="1596" uniqueCount="448">
  <si>
    <t>(Rs million)</t>
  </si>
  <si>
    <t xml:space="preserve">Total Government Expenditure </t>
  </si>
  <si>
    <t>Island of Mauritius</t>
  </si>
  <si>
    <t xml:space="preserve">  Ministry of Education &amp; HR</t>
  </si>
  <si>
    <t>Island of Rodrigues</t>
  </si>
  <si>
    <t>Total</t>
  </si>
  <si>
    <t xml:space="preserve">Amount          </t>
  </si>
  <si>
    <t>%</t>
  </si>
  <si>
    <r>
      <t>Island of Mauritius</t>
    </r>
  </si>
  <si>
    <t xml:space="preserve">         Pre-primary</t>
  </si>
  <si>
    <t xml:space="preserve">         Primary</t>
  </si>
  <si>
    <t xml:space="preserve">         Secondary</t>
  </si>
  <si>
    <t xml:space="preserve">         Technical &amp; Vocational</t>
  </si>
  <si>
    <t xml:space="preserve">         Pre-Primary</t>
  </si>
  <si>
    <t xml:space="preserve">    -</t>
  </si>
  <si>
    <t xml:space="preserve">     Total</t>
  </si>
  <si>
    <r>
      <t>\4</t>
    </r>
    <r>
      <rPr>
        <sz val="11"/>
        <rFont val="Times New Roman"/>
        <family val="1"/>
      </rPr>
      <t xml:space="preserve">  Expenditure on Education under Ministry of Rodrigues Vote</t>
    </r>
  </si>
  <si>
    <t>District</t>
  </si>
  <si>
    <t xml:space="preserve">Type of Administration </t>
  </si>
  <si>
    <t>Municipal/</t>
  </si>
  <si>
    <t xml:space="preserve"> Private</t>
  </si>
  <si>
    <t>V.Council</t>
  </si>
  <si>
    <t xml:space="preserve"> Port Louis</t>
  </si>
  <si>
    <t xml:space="preserve"> Pamplemousses</t>
  </si>
  <si>
    <t xml:space="preserve"> Riv.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</si>
  <si>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</si>
  <si>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</si>
  <si>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</si>
  <si>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</si>
  <si>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</si>
  <si>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</si>
  <si>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</si>
  <si>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</si>
  <si>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</si>
  <si>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t>Zone</t>
  </si>
  <si>
    <t xml:space="preserve">  1 - Port Louis / North</t>
  </si>
  <si>
    <t xml:space="preserve">  2 - B.Bassin-R.Hill / East</t>
  </si>
  <si>
    <t xml:space="preserve">  3 - Curepipe / South</t>
  </si>
  <si>
    <t xml:space="preserve">  4 - Q.Bornes / Vacoas-Phoenix /West</t>
  </si>
  <si>
    <t xml:space="preserve">  5 - Rodrigues</t>
  </si>
  <si>
    <t>-</t>
  </si>
  <si>
    <t xml:space="preserve">    All Zones</t>
  </si>
  <si>
    <r>
      <t>PSTF</t>
    </r>
    <r>
      <rPr>
        <vertAlign val="superscript"/>
        <sz val="12"/>
        <rFont val="Times New Roman"/>
        <family val="1"/>
      </rPr>
      <t>1</t>
    </r>
  </si>
  <si>
    <r>
      <t>PSTF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</si>
  <si>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Pre-School Trust Fund </t>
    </r>
  </si>
  <si>
    <t xml:space="preserve">Enrolment </t>
  </si>
  <si>
    <t xml:space="preserve">Personnel </t>
  </si>
  <si>
    <t>Male</t>
  </si>
  <si>
    <t>Female</t>
  </si>
  <si>
    <t>Teaching</t>
  </si>
  <si>
    <t>Non - Teaching</t>
  </si>
  <si>
    <t xml:space="preserve"> Riviere du Rempart</t>
  </si>
  <si>
    <t xml:space="preserve"> Island of Mauritius</t>
  </si>
  <si>
    <t xml:space="preserve"> Island of Rodrigues</t>
  </si>
  <si>
    <t xml:space="preserve"> Republic of Mauritius</t>
  </si>
  <si>
    <t xml:space="preserve">  4 - Q.Bornes / Vacoas-Phoenix / West</t>
  </si>
  <si>
    <t xml:space="preserve">  All Zones</t>
  </si>
  <si>
    <t>Type of Administration</t>
  </si>
  <si>
    <t>Government</t>
  </si>
  <si>
    <t>Private</t>
  </si>
  <si>
    <t>Aided</t>
  </si>
  <si>
    <t>Non - Aided</t>
  </si>
  <si>
    <t>No.</t>
  </si>
  <si>
    <t xml:space="preserve">  Port Louis</t>
  </si>
  <si>
    <t xml:space="preserve">  Pamplemousses</t>
  </si>
  <si>
    <t xml:space="preserve"> -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</si>
  <si>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</si>
  <si>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</si>
  <si>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</si>
  <si>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</si>
  <si>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</si>
  <si>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</si>
  <si>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</si>
  <si>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</si>
  <si>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</si>
  <si>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</si>
  <si>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 xml:space="preserve"> 1 - Port Louis / North</t>
  </si>
  <si>
    <t xml:space="preserve"> 2 - B.Bassin-R.Hill / East</t>
  </si>
  <si>
    <t xml:space="preserve"> 3 - Curepipe / South</t>
  </si>
  <si>
    <t xml:space="preserve"> 4 - Q.Bornes / Vacoas-Phoenix / West</t>
  </si>
  <si>
    <t xml:space="preserve">  All  Zones</t>
  </si>
  <si>
    <t xml:space="preserve">  ¹ Excluding schools with partial stream </t>
  </si>
  <si>
    <t>All schools</t>
  </si>
  <si>
    <t>Government schools</t>
  </si>
  <si>
    <t xml:space="preserve">Private schools </t>
  </si>
  <si>
    <t>Non-aided</t>
  </si>
  <si>
    <t>Private schools</t>
  </si>
  <si>
    <t xml:space="preserve">    ¹ including enrolment in schools with a partial stream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</si>
  <si>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</si>
  <si>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Grade/Standard</t>
  </si>
  <si>
    <t>All Grades</t>
  </si>
  <si>
    <t>I</t>
  </si>
  <si>
    <t>II</t>
  </si>
  <si>
    <t>III</t>
  </si>
  <si>
    <t>IV</t>
  </si>
  <si>
    <t>V</t>
  </si>
  <si>
    <t>VI</t>
  </si>
  <si>
    <t>VI (repeaters)</t>
  </si>
  <si>
    <t xml:space="preserve">  Republic of  Mauritius</t>
  </si>
  <si>
    <t xml:space="preserve"> 2 -B.Bassin-R.Hill / East</t>
  </si>
  <si>
    <t xml:space="preserve"> 3 -Curepipe / South</t>
  </si>
  <si>
    <t xml:space="preserve"> 4 -Q.Bornes/Vacoas-Phoenix/West</t>
  </si>
  <si>
    <t xml:space="preserve"> 5 -Rodrigues</t>
  </si>
  <si>
    <t xml:space="preserve"> All  Zones</t>
  </si>
  <si>
    <t xml:space="preserve">  ¹ including enrolment in schools with a partial stream </t>
  </si>
  <si>
    <t>Grade</t>
  </si>
  <si>
    <t xml:space="preserve"> </t>
  </si>
  <si>
    <t>Repeaters</t>
  </si>
  <si>
    <r>
      <t xml:space="preserve"> </t>
    </r>
    <r>
      <rPr>
        <vertAlign val="superscript"/>
        <sz val="10"/>
        <rFont val="Times New Roman"/>
        <family val="0"/>
      </rPr>
      <t>1</t>
    </r>
    <r>
      <rPr>
        <sz val="10"/>
        <rFont val="Times New Roman"/>
        <family val="0"/>
      </rPr>
      <t xml:space="preserve"> Includes pupils attending schools with a partial stream </t>
    </r>
  </si>
  <si>
    <t>Republic of Mauritius</t>
  </si>
  <si>
    <t xml:space="preserve"> All schools</t>
  </si>
  <si>
    <t>VI Repeaters</t>
  </si>
  <si>
    <t xml:space="preserve"> Government schools</t>
  </si>
  <si>
    <t xml:space="preserve"> Private schools</t>
  </si>
  <si>
    <t xml:space="preserve">¹ including enrolment in schools with a partial stream </t>
  </si>
  <si>
    <t xml:space="preserve"> Head Teacher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</si>
  <si>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</si>
  <si>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</si>
  <si>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</si>
  <si>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</si>
  <si>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</si>
  <si>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</si>
  <si>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</si>
  <si>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School clerk</t>
  </si>
  <si>
    <t xml:space="preserve"> Caretaker</t>
  </si>
  <si>
    <t xml:space="preserve"> Labourer</t>
  </si>
  <si>
    <t xml:space="preserve"> Other</t>
  </si>
  <si>
    <t xml:space="preserve"> TOTAL</t>
  </si>
  <si>
    <t xml:space="preserve">  Riv. du Rempart</t>
  </si>
  <si>
    <t xml:space="preserve">  Island of  Mauritius</t>
  </si>
  <si>
    <t xml:space="preserve">  Island of  Rodrigues</t>
  </si>
  <si>
    <t xml:space="preserve">      -</t>
  </si>
  <si>
    <t xml:space="preserve">  * including physical education instructors</t>
  </si>
  <si>
    <t>School Candidates only</t>
  </si>
  <si>
    <t>No. Examined</t>
  </si>
  <si>
    <t>No.        Passed</t>
  </si>
  <si>
    <t>%             Passed</t>
  </si>
  <si>
    <t xml:space="preserve">Island of Rodrigues </t>
  </si>
  <si>
    <t xml:space="preserve">    Source: Mauritius Examinations Syndicate </t>
  </si>
  <si>
    <t>No.             Passed</t>
  </si>
  <si>
    <t>%                   Passed</t>
  </si>
  <si>
    <t>School Candidates</t>
  </si>
  <si>
    <t xml:space="preserve">         First Sitting</t>
  </si>
  <si>
    <t xml:space="preserve">         Second Sitting</t>
  </si>
  <si>
    <t xml:space="preserve">          Total</t>
  </si>
  <si>
    <t>Private Candidates</t>
  </si>
  <si>
    <t>School &amp; Private Candidates</t>
  </si>
  <si>
    <t xml:space="preserve"> Type of Administration</t>
  </si>
  <si>
    <t xml:space="preserve">Private </t>
  </si>
  <si>
    <t xml:space="preserve">      Company (REDCO)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</si>
  <si>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</si>
  <si>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</si>
  <si>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</si>
  <si>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t xml:space="preserve">  </t>
    </r>
    <r>
      <rPr>
        <vertAlign val="superscript"/>
        <sz val="10"/>
        <rFont val="Times New Roman"/>
        <family val="0"/>
      </rPr>
      <t xml:space="preserve"> 3</t>
    </r>
    <r>
      <rPr>
        <sz val="10"/>
        <rFont val="Times New Roman"/>
        <family val="0"/>
      </rPr>
      <t xml:space="preserve">  includes Mauritius Educational Development Company (MEDCO) / Rodrigues Educational Development</t>
    </r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</si>
  <si>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</si>
  <si>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1"/>
        <rFont val="Times New Roman"/>
        <family val="1"/>
      </rPr>
      <t xml:space="preserve"> 2</t>
    </r>
  </si>
  <si>
    <t>All</t>
  </si>
  <si>
    <t xml:space="preserve">VI Lower </t>
  </si>
  <si>
    <t xml:space="preserve">VI Upper </t>
  </si>
  <si>
    <t>Grades</t>
  </si>
  <si>
    <t xml:space="preserve">  I</t>
  </si>
  <si>
    <t xml:space="preserve"> II</t>
  </si>
  <si>
    <t xml:space="preserve"> V</t>
  </si>
  <si>
    <t>Lower</t>
  </si>
  <si>
    <t xml:space="preserve"> VI</t>
  </si>
  <si>
    <t>Upper</t>
  </si>
  <si>
    <t xml:space="preserve">   All schools</t>
  </si>
  <si>
    <t xml:space="preserve">  II</t>
  </si>
  <si>
    <t xml:space="preserve">  III</t>
  </si>
  <si>
    <t xml:space="preserve">  IV</t>
  </si>
  <si>
    <t xml:space="preserve">  V</t>
  </si>
  <si>
    <t xml:space="preserve">  VI </t>
  </si>
  <si>
    <t xml:space="preserve">  Total</t>
  </si>
  <si>
    <t xml:space="preserve">   State Schools</t>
  </si>
  <si>
    <t xml:space="preserve">   Private Schools</t>
  </si>
  <si>
    <t xml:space="preserve">State </t>
  </si>
  <si>
    <t>State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</si>
  <si>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0"/>
      </rPr>
      <t xml:space="preserve"> </t>
    </r>
  </si>
  <si>
    <r>
      <t>Private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0"/>
      </rPr>
      <t xml:space="preserve"> </t>
    </r>
  </si>
  <si>
    <r>
      <t xml:space="preserve">    2</t>
    </r>
    <r>
      <rPr>
        <sz val="10"/>
        <rFont val="Times New Roman"/>
        <family val="0"/>
      </rPr>
      <t xml:space="preserve"> includes Mauritius Educational Development Company (MEDCO) / Rodrigues Educational Development Company (REDCO)                                     </t>
    </r>
  </si>
  <si>
    <t>State schools</t>
  </si>
  <si>
    <r>
      <t xml:space="preserve">Private schools </t>
    </r>
    <r>
      <rPr>
        <vertAlign val="superscript"/>
        <sz val="11"/>
        <rFont val="Times New Roman"/>
        <family val="1"/>
      </rPr>
      <t>1</t>
    </r>
  </si>
  <si>
    <t>Enrolment</t>
  </si>
  <si>
    <t>Year I</t>
  </si>
  <si>
    <t>Year II</t>
  </si>
  <si>
    <t>Year III</t>
  </si>
  <si>
    <t>Pamplemousses</t>
  </si>
  <si>
    <t>Riviere du Rempart</t>
  </si>
  <si>
    <t>Flacq</t>
  </si>
  <si>
    <t>Grand Port</t>
  </si>
  <si>
    <t>Savanne</t>
  </si>
  <si>
    <t>P.Wilhems</t>
  </si>
  <si>
    <t>Moka</t>
  </si>
  <si>
    <t>Black River</t>
  </si>
  <si>
    <t>2- B.Bassin-R.Hill / East</t>
  </si>
  <si>
    <t>3- Curepipe / South</t>
  </si>
  <si>
    <t>4- Q.Bornes  / Vacoas-Phoenix / West</t>
  </si>
  <si>
    <t>5- Rodrigues</t>
  </si>
  <si>
    <t>All  Zones</t>
  </si>
  <si>
    <t>Academic</t>
  </si>
  <si>
    <t>Pre-vocational</t>
  </si>
  <si>
    <t>Academic &amp; Pre-vocational</t>
  </si>
  <si>
    <t>Port Louis</t>
  </si>
  <si>
    <t>Plaines Wilhems</t>
  </si>
  <si>
    <t>Republic of  Mauritius</t>
  </si>
  <si>
    <t>School candidates only</t>
  </si>
  <si>
    <t>Type of school administration                                       and sex</t>
  </si>
  <si>
    <t>No.  Examined</t>
  </si>
  <si>
    <t>No.      Passed</t>
  </si>
  <si>
    <t xml:space="preserve"> %        Passed </t>
  </si>
  <si>
    <t>No.                      Examined</t>
  </si>
  <si>
    <t>All Schools</t>
  </si>
  <si>
    <t>State Schools</t>
  </si>
  <si>
    <t>Private Schools</t>
  </si>
  <si>
    <t xml:space="preserve"> Source: Mauritius Examinations Syndicate </t>
  </si>
  <si>
    <r>
      <t xml:space="preserve">Island of Rodrigues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</si>
  <si>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10"/>
        <rFont val="Times New Roman"/>
        <family val="0"/>
      </rPr>
      <t xml:space="preserve"> All candidates in Rodrigues are from REDCO and private schools.</t>
    </r>
  </si>
  <si>
    <t>Type of school administration                      and sex</t>
  </si>
  <si>
    <t>No.     Passed</t>
  </si>
  <si>
    <t>%                  Passed</t>
  </si>
  <si>
    <t>%       Passed</t>
  </si>
  <si>
    <t xml:space="preserve">Source: Mauritius Examinations Syndicate </t>
  </si>
  <si>
    <r>
      <t xml:space="preserve">Island of Rodrigues </t>
    </r>
    <r>
      <rPr>
        <b/>
        <vertAlign val="superscript"/>
        <sz val="11"/>
        <rFont val="Times New Roman"/>
        <family val="1"/>
      </rPr>
      <t>1</t>
    </r>
  </si>
  <si>
    <r>
      <t xml:space="preserve">                                                       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0"/>
      </rPr>
      <t xml:space="preserve"> All candidates in Rodrigues are from REDCO and private schools.</t>
    </r>
  </si>
  <si>
    <r>
      <t xml:space="preserve">1 </t>
    </r>
    <r>
      <rPr>
        <sz val="10"/>
        <rFont val="Times New Roman"/>
        <family val="0"/>
      </rPr>
      <t>All candidates in Rodrigues are from REDCO and private schools</t>
    </r>
  </si>
  <si>
    <t>Field of study</t>
  </si>
  <si>
    <t>Distance Education/ Private Providers</t>
  </si>
  <si>
    <t>Overseas</t>
  </si>
  <si>
    <t>UTM</t>
  </si>
  <si>
    <t>MIE</t>
  </si>
  <si>
    <t>MGI</t>
  </si>
  <si>
    <t>MCA</t>
  </si>
  <si>
    <t>Polytechnics</t>
  </si>
  <si>
    <t>IVTB</t>
  </si>
  <si>
    <t>MIH</t>
  </si>
  <si>
    <t>Administration / Management</t>
  </si>
  <si>
    <t>Agriculture</t>
  </si>
  <si>
    <t>Architecture</t>
  </si>
  <si>
    <t>Arts</t>
  </si>
  <si>
    <t>Banking / Finance</t>
  </si>
  <si>
    <t>Business / Commerce / Marketing</t>
  </si>
  <si>
    <t>Communication</t>
  </si>
  <si>
    <t>Dentistry</t>
  </si>
  <si>
    <t>Economics</t>
  </si>
  <si>
    <t>Education</t>
  </si>
  <si>
    <t>Engineering</t>
  </si>
  <si>
    <t>Humanities</t>
  </si>
  <si>
    <t>Information Technology</t>
  </si>
  <si>
    <t>Languages</t>
  </si>
  <si>
    <t>Law</t>
  </si>
  <si>
    <t xml:space="preserve">Mathematics </t>
  </si>
  <si>
    <t>Pharmacy</t>
  </si>
  <si>
    <t>Police Studies</t>
  </si>
  <si>
    <t>Religious Studies</t>
  </si>
  <si>
    <t>Research (MPhil / PhD)</t>
  </si>
  <si>
    <t>Science</t>
  </si>
  <si>
    <t>Social Science</t>
  </si>
  <si>
    <t>Textile</t>
  </si>
  <si>
    <t>Travel / Hotel / Tourism</t>
  </si>
  <si>
    <t xml:space="preserve">Others </t>
  </si>
  <si>
    <r>
      <t>UOM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</si>
  <si>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Excludes enrolment on joint MIE &amp; MGI Programmes</t>
    </r>
  </si>
  <si>
    <r>
      <t xml:space="preserve">   </t>
    </r>
    <r>
      <rPr>
        <vertAlign val="superscript"/>
        <sz val="10"/>
        <rFont val="Times New Roman"/>
        <family val="0"/>
      </rPr>
      <t>1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includes Mahatma Gandhi Institute, Rabindranath Tagore Secondary School and  Mahatma Gandhi State Schools</t>
    </r>
  </si>
  <si>
    <t>(PFIs)</t>
  </si>
  <si>
    <t>Publicly - Funded Institutions (PFIs)</t>
  </si>
  <si>
    <t xml:space="preserve"> 1 -Port Louis / North</t>
  </si>
  <si>
    <t xml:space="preserve">  4 - Q.Bornes/ Vacoas-Phoenix/  West</t>
  </si>
  <si>
    <t>1- Port Louis / North</t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</si>
  <si>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 xml:space="preserve">  includes Mauritius Educational Development Company (MEDCO) / Rodrigues Educational Development Company (REDCO)</t>
    </r>
  </si>
  <si>
    <r>
      <t xml:space="preserve">   </t>
    </r>
    <r>
      <rPr>
        <vertAlign val="superscript"/>
        <sz val="10"/>
        <color indexed="8"/>
        <rFont val="Times New Roman"/>
        <family val="0"/>
      </rPr>
      <t>1</t>
    </r>
    <r>
      <rPr>
        <sz val="10"/>
        <color indexed="8"/>
        <rFont val="Times New Roman"/>
        <family val="0"/>
      </rPr>
      <t xml:space="preserve"> 49 of these schools offer academic education only and 131 both academic and pre-vocational education</t>
    </r>
  </si>
  <si>
    <t>2007*</t>
  </si>
  <si>
    <t>* Provisional</t>
  </si>
  <si>
    <r>
      <t>2007/2008</t>
    </r>
    <r>
      <rPr>
        <vertAlign val="superscript"/>
        <sz val="11"/>
        <rFont val="Times New Roman"/>
        <family val="1"/>
      </rPr>
      <t>\1</t>
    </r>
  </si>
  <si>
    <r>
      <t>2008/2009</t>
    </r>
    <r>
      <rPr>
        <vertAlign val="superscript"/>
        <sz val="11"/>
        <rFont val="Times New Roman"/>
        <family val="1"/>
      </rPr>
      <t>\1</t>
    </r>
  </si>
  <si>
    <t>of which expenditure by:</t>
  </si>
  <si>
    <t>Ministry of Education &amp; Human Resources</t>
  </si>
  <si>
    <t xml:space="preserve">         Tertiary Education</t>
  </si>
  <si>
    <r>
      <t xml:space="preserve">Special Education Programmes </t>
    </r>
    <r>
      <rPr>
        <i/>
        <vertAlign val="superscript"/>
        <sz val="11"/>
        <rFont val="Times New Roman"/>
        <family val="1"/>
      </rPr>
      <t>2</t>
    </r>
  </si>
  <si>
    <r>
      <t xml:space="preserve">         Other </t>
    </r>
    <r>
      <rPr>
        <i/>
        <vertAlign val="superscript"/>
        <sz val="11"/>
        <rFont val="Times New Roman"/>
        <family val="1"/>
      </rPr>
      <t>3</t>
    </r>
  </si>
  <si>
    <r>
      <t xml:space="preserve">Island of Rodrigues </t>
    </r>
    <r>
      <rPr>
        <b/>
        <vertAlign val="superscript"/>
        <sz val="12"/>
        <rFont val="Times New Roman"/>
        <family val="1"/>
      </rPr>
      <t>4</t>
    </r>
  </si>
  <si>
    <t>Secondary</t>
  </si>
  <si>
    <t>Other</t>
  </si>
  <si>
    <r>
      <t>Other Ministries</t>
    </r>
    <r>
      <rPr>
        <b/>
        <vertAlign val="superscript"/>
        <sz val="12"/>
        <rFont val="Times New Roman"/>
        <family val="1"/>
      </rPr>
      <t xml:space="preserve"> 5</t>
    </r>
  </si>
  <si>
    <r>
      <t>\1</t>
    </r>
    <r>
      <rPr>
        <sz val="11"/>
        <rFont val="Times New Roman"/>
        <family val="1"/>
      </rPr>
      <t xml:space="preserve">  Estimates          </t>
    </r>
  </si>
  <si>
    <r>
      <t>\2</t>
    </r>
    <r>
      <rPr>
        <sz val="11"/>
        <rFont val="Times New Roman"/>
        <family val="1"/>
      </rPr>
      <t xml:space="preserve">  Includes MIE, Conservatoire, HRDC, NPCC &amp; MCA         </t>
    </r>
  </si>
  <si>
    <r>
      <t>\3</t>
    </r>
    <r>
      <rPr>
        <sz val="11"/>
        <rFont val="Times New Roman"/>
        <family val="1"/>
      </rPr>
      <t xml:space="preserve">  Includes MQA, Rajiv Gandhi Science Centre &amp; World Hindi Secretariat         </t>
    </r>
  </si>
  <si>
    <r>
      <t xml:space="preserve">   </t>
    </r>
    <r>
      <rPr>
        <vertAlign val="superscript"/>
        <sz val="10"/>
        <color indexed="8"/>
        <rFont val="Times New Roman"/>
        <family val="0"/>
      </rPr>
      <t xml:space="preserve">1 </t>
    </r>
    <r>
      <rPr>
        <sz val="10"/>
        <color indexed="8"/>
        <rFont val="Times New Roman"/>
        <family val="1"/>
      </rPr>
      <t>includes 131</t>
    </r>
    <r>
      <rPr>
        <sz val="10"/>
        <color indexed="8"/>
        <rFont val="Times New Roman"/>
        <family val="0"/>
      </rPr>
      <t xml:space="preserve"> secondary schools providing both academic and pre-vocational education and 7 schools providing only pre-vocational</t>
    </r>
  </si>
  <si>
    <r>
      <t xml:space="preserve">  </t>
    </r>
    <r>
      <rPr>
        <vertAlign val="superscript"/>
        <sz val="10"/>
        <rFont val="Times New Roman"/>
        <family val="0"/>
      </rPr>
      <t>1</t>
    </r>
    <r>
      <rPr>
        <sz val="10"/>
        <rFont val="Times New Roman"/>
        <family val="0"/>
      </rPr>
      <t xml:space="preserve">  includes Mauritius Educational Development Company (MEDCO) / Rodrigues Educational Development Company (REDCO) </t>
    </r>
  </si>
  <si>
    <t>Psychology</t>
  </si>
  <si>
    <t>Health Sciences</t>
  </si>
  <si>
    <t>Accounting</t>
  </si>
  <si>
    <t>Research (Master)</t>
  </si>
  <si>
    <t>Year of                      study</t>
  </si>
  <si>
    <t xml:space="preserve">                  year of study and sex, 2006 - 2008</t>
  </si>
  <si>
    <t xml:space="preserve">                    2006 - 2008</t>
  </si>
  <si>
    <t>Medicine</t>
  </si>
  <si>
    <t xml:space="preserve"> Source: Participation in Tertiary Education 2007, Tertiary Education Commisson (TEC) Report</t>
  </si>
  <si>
    <t xml:space="preserve">                   and sex, 2006 - 2008 - Republic of Mauritius</t>
  </si>
  <si>
    <r>
      <t xml:space="preserve">  </t>
    </r>
    <r>
      <rPr>
        <sz val="10"/>
        <rFont val="Times New Roman"/>
        <family val="0"/>
      </rPr>
      <t>Some of the partial stream schools started operating on a full stream basis</t>
    </r>
  </si>
  <si>
    <t>Page</t>
  </si>
  <si>
    <t>1.1</t>
  </si>
  <si>
    <t>EXPENDITURE ON EDUCATION</t>
  </si>
  <si>
    <t>Government Expenditure on Education by sector, 2007/2008 and 2008/2009</t>
  </si>
  <si>
    <t>PRE-PRIMARY EDUCATION</t>
  </si>
  <si>
    <t>3.1</t>
  </si>
  <si>
    <t>Distribution of pre-primary schools by district and type of administration, 2008</t>
  </si>
  <si>
    <t>3.2</t>
  </si>
  <si>
    <t>Distribution of pre-primary schools by zone and type of administration, 2008</t>
  </si>
  <si>
    <t>3.3</t>
  </si>
  <si>
    <t>3.4</t>
  </si>
  <si>
    <t>PRIMARY EDUCATION</t>
  </si>
  <si>
    <t>4.1</t>
  </si>
  <si>
    <t>Distribution of primary schools by district and type of administration, 2008</t>
  </si>
  <si>
    <t>Distribution of primary schools by zone and type of administration, 2008</t>
  </si>
  <si>
    <t>Enrolment in primary schools by district, type of administration and sex , 2008</t>
  </si>
  <si>
    <t>4.4</t>
  </si>
  <si>
    <t>Enrolment in primary schools by zone, type of administration and sex , 2008</t>
  </si>
  <si>
    <t>4.5</t>
  </si>
  <si>
    <t>Enrolment in primary schools by district and grade, 2008</t>
  </si>
  <si>
    <t>4.6</t>
  </si>
  <si>
    <t>Enrolment in primary schools by zone and grade, 2008</t>
  </si>
  <si>
    <t>Enrolment in primary schools by grade and sex, 2006 - 2008</t>
  </si>
  <si>
    <t>Personnel in primary schools by district and occupational status, 2008</t>
  </si>
  <si>
    <t>4.10</t>
  </si>
  <si>
    <t>Personnel in primary schools by zone and occupational status, 2008</t>
  </si>
  <si>
    <t>Certificate of Primary Education (CPE) examination results by  sex, 2005 - 2007</t>
  </si>
  <si>
    <t>Performance at Certificate of Primary Education (CPE) examination by sex and sitting, 2007</t>
  </si>
  <si>
    <t>SECONDARY EDUCATION - ACADEMIC STREAM AND PRE-VOCATIONAL</t>
  </si>
  <si>
    <t>5.1</t>
  </si>
  <si>
    <t>Distribution of secondary schools by district and type of adminstration, 2008</t>
  </si>
  <si>
    <t>Distribution of secondary schools by zone and type of administration, 2008</t>
  </si>
  <si>
    <t>Enrolment in secondary schools (academic stream) by district, type of adminstration and sex, 2008</t>
  </si>
  <si>
    <t>5.4</t>
  </si>
  <si>
    <t>Enrolment in secondary schools (academic stream) by zone, type of adminstration and sex, 2008</t>
  </si>
  <si>
    <t>5.5</t>
  </si>
  <si>
    <t>Enrolment in secondary schools (academic stream) by district and grade, 2008</t>
  </si>
  <si>
    <t>5.6</t>
  </si>
  <si>
    <t>Enrolment in secondary schools (academic stream) by zone and grade, 2008</t>
  </si>
  <si>
    <t>Enrolment in secondary schools (academic stream) by grade and sex, 2006 - 2008</t>
  </si>
  <si>
    <t xml:space="preserve">Enrolment in secondary schools (academic stream) by type of adminstration, grade and sex, </t>
  </si>
  <si>
    <t>2006 - 2008, Republic of Mauritius</t>
  </si>
  <si>
    <t>Distribution of schools offering pre-vocational education by district and type of adminstration, 2008</t>
  </si>
  <si>
    <t>5.10</t>
  </si>
  <si>
    <t>Distribution of schools offering pre-vocational education by zone and type of administration, 2008</t>
  </si>
  <si>
    <t>Enrolment in schools offering pre-vocational education by zone, type of administration and sex, 2008</t>
  </si>
  <si>
    <t>5.13</t>
  </si>
  <si>
    <t>Enrolment in schools offering pre-vocational education by district and year of study, 2008</t>
  </si>
  <si>
    <t>5.14</t>
  </si>
  <si>
    <t>Enrolment in schools offering pre-vocational education by zone and year of study, 2008</t>
  </si>
  <si>
    <t>5.15</t>
  </si>
  <si>
    <t>Enrolment in schools offering pre-vocational education by year of study and sex, 2006 - 2008</t>
  </si>
  <si>
    <t>5.16</t>
  </si>
  <si>
    <t xml:space="preserve">Enrolment in schools offering pre-vocational education by type of administration, year study and sex, </t>
  </si>
  <si>
    <t>5.17</t>
  </si>
  <si>
    <t>Teaching staff in secondary (academic &amp; pre-vocational streams) by district and sex, 2008</t>
  </si>
  <si>
    <t>5.18</t>
  </si>
  <si>
    <t>Teaching staff in secondary schools (academic &amp; pre-vocational streams) by zone and sex, 2008</t>
  </si>
  <si>
    <t>5.19</t>
  </si>
  <si>
    <t>5.20</t>
  </si>
  <si>
    <t>POST SECONDARY EDUCATION</t>
  </si>
  <si>
    <t>6.1(a)</t>
  </si>
  <si>
    <t xml:space="preserve">Total number of students enrolled in Tertiary Education, both locally and overseas, by field of study </t>
  </si>
  <si>
    <t>as at December 2006</t>
  </si>
  <si>
    <t>6.1(b)</t>
  </si>
  <si>
    <t>as at December 2007</t>
  </si>
  <si>
    <t>Publicly Funded Institutions (PFIs)</t>
  </si>
  <si>
    <t>Accountancy</t>
  </si>
  <si>
    <t>Health &amp; Safety</t>
  </si>
  <si>
    <t>Medecine</t>
  </si>
  <si>
    <t xml:space="preserve">   -</t>
  </si>
  <si>
    <t xml:space="preserve"> Source: Participation in Tertiary Education 2006, Tertiary Education Commisson (TEC) Report</t>
  </si>
  <si>
    <t>Table 6.1(b) - Total number of students enrolled in Tertiary Education, both locally and overseas, by field of study as at December 2007</t>
  </si>
  <si>
    <t>Table 6.1(a) - Total number of students enrolled in Tertiary Education, both locally and overseas, by field of study as at December 2006</t>
  </si>
  <si>
    <t>Pre-primary</t>
  </si>
  <si>
    <t>Number of schools</t>
  </si>
  <si>
    <t>Number of teachers</t>
  </si>
  <si>
    <t>Pupil/Teacher Ratio</t>
  </si>
  <si>
    <t>Primary</t>
  </si>
  <si>
    <t>n.a</t>
  </si>
  <si>
    <t>Secondary (Academic and Pre-Vocational)</t>
  </si>
  <si>
    <t>Expenditure</t>
  </si>
  <si>
    <t>n.a: Not available</t>
  </si>
  <si>
    <t>Enrolment and personnel in pre-primary schools by district and sex, 2008</t>
  </si>
  <si>
    <t>Enrolment and personnel in pre-primary schools by zone and sex, 2008</t>
  </si>
  <si>
    <t xml:space="preserve">Total Government  Expenditure, Republic of Mauritius, 2007/2008 and 2008/2009 </t>
  </si>
  <si>
    <t>Table 5.20 - Cambridge Higher School Certificate (HSC) examination results by type of school administration and sex, 2005 - 2007</t>
  </si>
  <si>
    <t>Table 5.19 - Cambridge School Certificate (SC) examination results by type of school administration and sex, 2005 - 2007</t>
  </si>
  <si>
    <t>Table 5.17 - Teaching staff in secondary schools (academic &amp; pre-vocational streams) by district and sex, 2008</t>
  </si>
  <si>
    <t>Table 5.18 - Teaching staff in secondary schools (academic &amp; pre-vocational streams) by zone and sex, 2008</t>
  </si>
  <si>
    <t>Table 5.16 - Enrolment in schools offering pre-vocational education by type of  administration,</t>
  </si>
  <si>
    <t xml:space="preserve">Table 5.15 - Enrolment in schools offering pre-vocational education by year of study and sex, </t>
  </si>
  <si>
    <t>Table 5.13 - Enrolment in schools offering pre-vocational education by district and year of study, 2008</t>
  </si>
  <si>
    <t>Table 5.14 - Enrolment  in schools offering pre-vocational education by zone and year of study, 2008</t>
  </si>
  <si>
    <t>Table 5.11 -  Enrolment in schools offering pre-vocational education by district, type of administration and sex, 2008</t>
  </si>
  <si>
    <t>Table 5.12 -  Enrolment in schools offering pre-vocational education by zone, type of administration and sex, 2008</t>
  </si>
  <si>
    <t>Table 5.9  -  Distribution of schools offering pre-vocational education by district and type of administration, 2008</t>
  </si>
  <si>
    <t>Table 5.10  -  Distribution of schools offering pre-vocational education by zone and type of administration, 2008</t>
  </si>
  <si>
    <t xml:space="preserve">Table 5.8 - Enrolment in secondary schools (academic stream) by type of administration, grade </t>
  </si>
  <si>
    <t>Table 5.7 - Enrolment in secondary schools (academic stream) by grade and sex, 2006 - 2008</t>
  </si>
  <si>
    <t>Table 5.5 - Enrolment in secondary schools (academic stream) by district and grade, 2008</t>
  </si>
  <si>
    <t>Table 5.6 - Enrolment in secondary schools (academic stream) by zone and grade, 2008</t>
  </si>
  <si>
    <t>Table 5.3 -  Enrolment in secondary schools (academic stream) by district, type of administration and sex, 2008</t>
  </si>
  <si>
    <t>Table 5.4 -  Enrolment in secondary schools (academic stream) by zone, type of administration and sex, 2008</t>
  </si>
  <si>
    <t>Table 5.1 -  Distribution of  secondary schools by district and type of administration, 2008</t>
  </si>
  <si>
    <t>Table 5.2 - Distribution of secondary schools by zone and type of administration, 2008</t>
  </si>
  <si>
    <t>Table 4.12 - Performance at Certificate of Primary Education (CPE) examination by sex and sitting, 2007</t>
  </si>
  <si>
    <t>Table 4.11 - Certificate of Primary Education (CPE) examination results by sex, 2005-2007</t>
  </si>
  <si>
    <t>Table 4.9 - Personnel in primary schools by district and occupational status, 2008</t>
  </si>
  <si>
    <t>Table 4.10 - Personnel in primary schools by zone and occupational status, 2008</t>
  </si>
  <si>
    <t>Table 4.8 - Enrolment in primary schools¹ by type of administration, grade and sex, 2006 - 2008</t>
  </si>
  <si>
    <r>
      <t>Table 4.7  -  Enrolment in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grade and sex, 2006 - 2008</t>
    </r>
  </si>
  <si>
    <r>
      <t>Table 4.5 -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district and grade, 2008</t>
    </r>
  </si>
  <si>
    <r>
      <t>Table 4.6 -  Enrolment in  primary schools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by zone and grade, 2008</t>
    </r>
  </si>
  <si>
    <r>
      <t xml:space="preserve">Table 4.3 -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by district, type of administration and sex, 2007</t>
    </r>
  </si>
  <si>
    <r>
      <t xml:space="preserve">Table 4.4 -  Enrolment in primary schools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by zone, type of administration and sex, 2008</t>
    </r>
  </si>
  <si>
    <r>
      <t>Table 4.1 -  Distribution of 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district and type of administration, 2008</t>
    </r>
  </si>
  <si>
    <r>
      <t>Table 4.2 -  Distribution of  primary schools</t>
    </r>
    <r>
      <rPr>
        <vertAlign val="superscript"/>
        <sz val="12"/>
        <rFont val="Times New Roman"/>
        <family val="0"/>
      </rPr>
      <t>1</t>
    </r>
    <r>
      <rPr>
        <sz val="12"/>
        <rFont val="Times New Roman"/>
        <family val="0"/>
      </rPr>
      <t xml:space="preserve"> by zone and type of administration, 2008</t>
    </r>
  </si>
  <si>
    <t>Table 3.4 - Enrolment and personnel in pre-primary schools  by zone and sex, 2008</t>
  </si>
  <si>
    <t>Table 3.1 - Distribution of pre-primary schools  by district and type of administration, 2008</t>
  </si>
  <si>
    <t>Table 3.2 - Distribution of pre-primary schools  by zone and type of administration, 2008</t>
  </si>
  <si>
    <t xml:space="preserve">Table 2.1 - Total Government Expenditure, Republic of Mauritius, 2007/2008 and 2008/2009 </t>
  </si>
  <si>
    <t xml:space="preserve">Table 2.2 - Government Expenditure on Education by sector, 2007/2008 and 2008/2009 </t>
  </si>
  <si>
    <t>LIST OF TABLES</t>
  </si>
  <si>
    <t>Main Education indicators and data, Republic of Mauritius, 2004 - 2008</t>
  </si>
  <si>
    <t>EDUCATION INDICATORS</t>
  </si>
  <si>
    <t>Table 1.1 - Main Education Indicators and data, Republic of Mauritius, 2004 - 2008</t>
  </si>
  <si>
    <t>Gross Enrolment Ratio (%)</t>
  </si>
  <si>
    <r>
      <t xml:space="preserve">RC/HA 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</si>
  <si>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 xml:space="preserve">  Roman Catholic and Hindu Aided Schools</t>
    </r>
  </si>
  <si>
    <t xml:space="preserve">Enrolment in primary schools by type of administration, grade and sex, 2006-2008, </t>
  </si>
  <si>
    <t xml:space="preserve">Cambridge School Certificate (SC) examination results by type of school administration and sex, </t>
  </si>
  <si>
    <t>2005 - 2007</t>
  </si>
  <si>
    <t xml:space="preserve">Cambridge Higher School Certificate (HSC) examination results by type of school administration  </t>
  </si>
  <si>
    <t xml:space="preserve">and sex, 2005 - 2007 </t>
  </si>
  <si>
    <t xml:space="preserve">Enrolment in schools offering pre-vocational education by district, type of administration </t>
  </si>
  <si>
    <t>and sex, 2008</t>
  </si>
  <si>
    <r>
      <t xml:space="preserve">   </t>
    </r>
    <r>
      <rPr>
        <vertAlign val="superscript"/>
        <sz val="10"/>
        <rFont val="Times New Roman"/>
        <family val="0"/>
      </rPr>
      <t>2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includes Mahatma Gandhi Institute, Rabindranath Tagore Secondary School and 4 Mahatma Gandhi State Schools</t>
    </r>
  </si>
  <si>
    <r>
      <t>Tertiary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</si>
  <si>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Source: Tertiary Education Commission</t>
    </r>
  </si>
  <si>
    <t>Table 3.3 - Enrolment and personnel in pre-primary schools by district and sex, 2008</t>
  </si>
  <si>
    <t>Transition Rate (Primary to Secondary)</t>
  </si>
  <si>
    <r>
      <t>\5</t>
    </r>
    <r>
      <rPr>
        <sz val="11"/>
        <rFont val="Times New Roman"/>
        <family val="1"/>
      </rPr>
      <t xml:space="preserve">  Includes Sea Training, MIH &amp; Contribution to National Empowerment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Foundation</t>
    </r>
  </si>
  <si>
    <t>Certificate of Primary Education Pass Rate</t>
  </si>
  <si>
    <t>Cambridge Higher School Certificate Pass Rate</t>
  </si>
  <si>
    <t>Cambridge School Certificate Pass Rate</t>
  </si>
  <si>
    <t xml:space="preserve">Government Expenditure on Education                            (Rs million) </t>
  </si>
  <si>
    <t>Government Expenditure on Education as a % of Total Government Expenditure</t>
  </si>
  <si>
    <t>Government Expenditure on Education as a % of GDP at market price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</si>
</sst>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"/>
    <numFmt numFmtId="166" formatCode="0.0"/>
    <numFmt numFmtId="167" formatCode="#,##0\ \ \ \ "/>
    <numFmt numFmtId="168" formatCode="#,##0\ \ "/>
    <numFmt numFmtId="169" formatCode="#,##0\ \ \ "/>
    <numFmt numFmtId="170" formatCode="\-\ \ "/>
    <numFmt numFmtId="171" formatCode="#,##0.0\ \ "/>
    <numFmt numFmtId="172" formatCode="0\ \ \ \ \ "/>
    <numFmt numFmtId="173" formatCode="\-\ \ \ \ \ "/>
    <numFmt numFmtId="174" formatCode="#,##0\ \ \ \ \ \ \ \ \ \ \ "/>
    <numFmt numFmtId="175" formatCode="\-\ \ \ \ \ \ \ \ \ \ \ "/>
    <numFmt numFmtId="176" formatCode="00000"/>
    <numFmt numFmtId="177" formatCode="#,##0.0\ \ \ \ \ \ \ \ \ \ \ \ "/>
    <numFmt numFmtId="178" formatCode="#,##0.0\ \ \ \ \ \ "/>
    <numFmt numFmtId="179" formatCode="\-\ \ \ \ \ \ \ \ \ \ \ \ \ "/>
    <numFmt numFmtId="180" formatCode="#,##0\ \ \ \ \ \ "/>
    <numFmt numFmtId="181" formatCode="\ \ \ \ \ \ \ \ \ \ \ \ "/>
    <numFmt numFmtId="182" formatCode="0\ \ \ "/>
    <numFmt numFmtId="183" formatCode="#,##0\ "/>
    <numFmt numFmtId="184" formatCode="\ \ #,##0\ \ \ "/>
    <numFmt numFmtId="185" formatCode="\ \ \ \ \ \-\ \ "/>
    <numFmt numFmtId="186" formatCode="\ \ \ \ \ \ \-\ \ "/>
    <numFmt numFmtId="187" formatCode="\ \ \ \ \ \ \ \-\ \ "/>
    <numFmt numFmtId="188" formatCode="0.0\ \ \ "/>
    <numFmt numFmtId="189" formatCode="\-\ \ \ \ \ \ \ "/>
    <numFmt numFmtId="190" formatCode="\-\ \ \ \ \ \ "/>
    <numFmt numFmtId="191" formatCode="\ \ \-\ \ \ \ \ \ "/>
    <numFmt numFmtId="192" formatCode="\ \ \ \ \ \ \ \ \ \ \ \ \ General"/>
    <numFmt numFmtId="193" formatCode="#,##0\ \ \ \ \ \ \ \ \ \ \ \ "/>
    <numFmt numFmtId="194" formatCode="#,##0\ \ \ \ \ \ \ "/>
    <numFmt numFmtId="195" formatCode="\ \ \ \ \ \ \ \ \ 0"/>
    <numFmt numFmtId="196" formatCode="\ 0\ \ \ \ \ \ \ \ \ "/>
    <numFmt numFmtId="197" formatCode="\ \ \ #,##0\ \ \ \ \ \ \ \ \ \ \ "/>
    <numFmt numFmtId="198" formatCode="0\ \ \ \ "/>
    <numFmt numFmtId="199" formatCode="\ \ \ \ \ \-\ \ \ \ \ "/>
    <numFmt numFmtId="200" formatCode="0.0000"/>
  </numFmts>
  <fonts count="30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1"/>
      <name val="MS Sans Serif"/>
      <family val="0"/>
    </font>
    <font>
      <sz val="12"/>
      <name val="Arial"/>
      <family val="0"/>
    </font>
    <font>
      <b/>
      <sz val="10"/>
      <name val="Times New Roman"/>
      <family val="1"/>
    </font>
    <font>
      <sz val="9.5"/>
      <name val="Times New Roman"/>
      <family val="1"/>
    </font>
    <font>
      <vertAlign val="superscript"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name val="MS Sans Serif"/>
      <family val="0"/>
    </font>
    <font>
      <b/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5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 wrapText="1"/>
    </xf>
    <xf numFmtId="171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171" fontId="1" fillId="0" borderId="9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78" fontId="3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1" fontId="1" fillId="0" borderId="3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1" fontId="1" fillId="0" borderId="1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right"/>
    </xf>
    <xf numFmtId="171" fontId="3" fillId="0" borderId="13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65" fontId="7" fillId="0" borderId="12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7" fillId="0" borderId="6" xfId="0" applyFont="1" applyBorder="1" applyAlignment="1">
      <alignment wrapText="1"/>
    </xf>
    <xf numFmtId="165" fontId="7" fillId="0" borderId="12" xfId="0" applyNumberFormat="1" applyFont="1" applyBorder="1" applyAlignment="1">
      <alignment horizontal="right" indent="1"/>
    </xf>
    <xf numFmtId="0" fontId="4" fillId="0" borderId="8" xfId="0" applyFont="1" applyBorder="1" applyAlignment="1">
      <alignment wrapText="1"/>
    </xf>
    <xf numFmtId="171" fontId="3" fillId="0" borderId="14" xfId="0" applyNumberFormat="1" applyFont="1" applyBorder="1" applyAlignment="1">
      <alignment horizontal="right"/>
    </xf>
    <xf numFmtId="171" fontId="3" fillId="0" borderId="15" xfId="15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5" xfId="0" applyFont="1" applyBorder="1" applyAlignment="1">
      <alignment vertical="center"/>
    </xf>
    <xf numFmtId="174" fontId="1" fillId="0" borderId="16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4" fontId="1" fillId="0" borderId="17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174" fontId="1" fillId="0" borderId="19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174" fontId="1" fillId="0" borderId="18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80" fontId="1" fillId="0" borderId="19" xfId="0" applyNumberFormat="1" applyFont="1" applyBorder="1" applyAlignment="1">
      <alignment horizontal="right" vertical="center"/>
    </xf>
    <xf numFmtId="167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wrapText="1"/>
    </xf>
    <xf numFmtId="0" fontId="14" fillId="0" borderId="0" xfId="35" applyFont="1">
      <alignment/>
      <protection/>
    </xf>
    <xf numFmtId="0" fontId="13" fillId="0" borderId="0" xfId="35" applyFont="1">
      <alignment/>
      <protection/>
    </xf>
    <xf numFmtId="0" fontId="1" fillId="0" borderId="20" xfId="35" applyFont="1" applyBorder="1" applyAlignment="1">
      <alignment horizontal="centerContinuous" vertical="center"/>
      <protection/>
    </xf>
    <xf numFmtId="0" fontId="1" fillId="0" borderId="20" xfId="35" applyFont="1" applyBorder="1" applyAlignment="1">
      <alignment horizontal="centerContinuous"/>
      <protection/>
    </xf>
    <xf numFmtId="0" fontId="1" fillId="0" borderId="4" xfId="35" applyFont="1" applyBorder="1" applyAlignment="1">
      <alignment horizontal="centerContinuous"/>
      <protection/>
    </xf>
    <xf numFmtId="0" fontId="1" fillId="0" borderId="0" xfId="35" applyFont="1">
      <alignment/>
      <protection/>
    </xf>
    <xf numFmtId="0" fontId="1" fillId="0" borderId="3" xfId="35" applyFont="1" applyBorder="1" applyAlignment="1">
      <alignment horizontal="centerContinuous" vertical="center"/>
      <protection/>
    </xf>
    <xf numFmtId="0" fontId="1" fillId="0" borderId="8" xfId="35" applyFont="1" applyBorder="1" applyAlignment="1">
      <alignment horizontal="center" vertical="center"/>
      <protection/>
    </xf>
    <xf numFmtId="0" fontId="1" fillId="0" borderId="7" xfId="35" applyFont="1" applyBorder="1" applyAlignment="1">
      <alignment horizontal="centerContinuous" vertical="center"/>
      <protection/>
    </xf>
    <xf numFmtId="0" fontId="1" fillId="0" borderId="8" xfId="35" applyFont="1" applyBorder="1" applyAlignment="1">
      <alignment horizontal="centerContinuous"/>
      <protection/>
    </xf>
    <xf numFmtId="0" fontId="1" fillId="0" borderId="21" xfId="35" applyFont="1" applyBorder="1" applyAlignment="1">
      <alignment horizontal="centerContinuous" vertical="center"/>
      <protection/>
    </xf>
    <xf numFmtId="0" fontId="1" fillId="0" borderId="15" xfId="35" applyFont="1" applyBorder="1" applyAlignment="1">
      <alignment horizontal="centerContinuous" vertical="center"/>
      <protection/>
    </xf>
    <xf numFmtId="0" fontId="1" fillId="0" borderId="8" xfId="35" applyFont="1" applyBorder="1" applyAlignment="1">
      <alignment horizontal="centerContinuous" vertical="center"/>
      <protection/>
    </xf>
    <xf numFmtId="0" fontId="1" fillId="0" borderId="22" xfId="35" applyFont="1" applyBorder="1" applyAlignment="1">
      <alignment horizontal="center" vertical="center"/>
      <protection/>
    </xf>
    <xf numFmtId="0" fontId="1" fillId="0" borderId="5" xfId="35" applyFont="1" applyBorder="1" applyAlignment="1">
      <alignment vertical="center"/>
      <protection/>
    </xf>
    <xf numFmtId="168" fontId="1" fillId="0" borderId="16" xfId="35" applyNumberFormat="1" applyFont="1" applyBorder="1" applyAlignment="1">
      <alignment horizontal="center" vertical="center"/>
      <protection/>
    </xf>
    <xf numFmtId="168" fontId="1" fillId="0" borderId="23" xfId="35" applyNumberFormat="1" applyFont="1" applyBorder="1" applyAlignment="1">
      <alignment horizontal="center" vertical="center"/>
      <protection/>
    </xf>
    <xf numFmtId="168" fontId="1" fillId="0" borderId="13" xfId="35" applyNumberFormat="1" applyFont="1" applyBorder="1" applyAlignment="1">
      <alignment horizontal="center" vertical="center"/>
      <protection/>
    </xf>
    <xf numFmtId="183" fontId="1" fillId="0" borderId="13" xfId="35" applyNumberFormat="1" applyFont="1" applyBorder="1" applyAlignment="1">
      <alignment horizontal="center" vertical="center"/>
      <protection/>
    </xf>
    <xf numFmtId="168" fontId="1" fillId="0" borderId="0" xfId="35" applyNumberFormat="1" applyFont="1">
      <alignment/>
      <protection/>
    </xf>
    <xf numFmtId="40" fontId="1" fillId="0" borderId="13" xfId="21" applyFont="1" applyBorder="1" applyAlignment="1">
      <alignment horizontal="center" vertical="center"/>
    </xf>
    <xf numFmtId="40" fontId="1" fillId="0" borderId="12" xfId="21" applyFont="1" applyBorder="1" applyAlignment="1">
      <alignment horizontal="center" vertical="center"/>
    </xf>
    <xf numFmtId="168" fontId="1" fillId="0" borderId="18" xfId="35" applyNumberFormat="1" applyFont="1" applyBorder="1" applyAlignment="1">
      <alignment horizontal="center" vertical="center"/>
      <protection/>
    </xf>
    <xf numFmtId="168" fontId="1" fillId="0" borderId="21" xfId="35" applyNumberFormat="1" applyFont="1" applyBorder="1" applyAlignment="1">
      <alignment horizontal="center" vertical="center"/>
      <protection/>
    </xf>
    <xf numFmtId="168" fontId="1" fillId="0" borderId="15" xfId="35" applyNumberFormat="1" applyFont="1" applyBorder="1" applyAlignment="1">
      <alignment horizontal="center" vertical="center"/>
      <protection/>
    </xf>
    <xf numFmtId="40" fontId="1" fillId="0" borderId="15" xfId="21" applyFont="1" applyBorder="1" applyAlignment="1">
      <alignment horizontal="center" vertical="center"/>
    </xf>
    <xf numFmtId="40" fontId="1" fillId="0" borderId="24" xfId="21" applyFont="1" applyBorder="1" applyAlignment="1">
      <alignment horizontal="center" vertical="center"/>
    </xf>
    <xf numFmtId="0" fontId="1" fillId="0" borderId="1" xfId="35" applyFont="1" applyBorder="1" applyAlignment="1">
      <alignment vertical="center"/>
      <protection/>
    </xf>
    <xf numFmtId="0" fontId="1" fillId="0" borderId="7" xfId="35" applyFont="1" applyBorder="1" applyAlignment="1">
      <alignment vertical="center"/>
      <protection/>
    </xf>
    <xf numFmtId="168" fontId="1" fillId="0" borderId="19" xfId="35" applyNumberFormat="1" applyFont="1" applyBorder="1" applyAlignment="1">
      <alignment horizontal="center" vertical="center"/>
      <protection/>
    </xf>
    <xf numFmtId="168" fontId="1" fillId="0" borderId="25" xfId="35" applyNumberFormat="1" applyFont="1" applyBorder="1" applyAlignment="1">
      <alignment horizontal="center" vertical="center"/>
      <protection/>
    </xf>
    <xf numFmtId="168" fontId="1" fillId="0" borderId="22" xfId="35" applyNumberFormat="1" applyFont="1" applyBorder="1" applyAlignment="1">
      <alignment horizontal="center" vertical="center"/>
      <protection/>
    </xf>
    <xf numFmtId="0" fontId="1" fillId="0" borderId="21" xfId="35" applyFont="1" applyBorder="1" applyAlignment="1">
      <alignment horizontal="center" vertical="center"/>
      <protection/>
    </xf>
    <xf numFmtId="183" fontId="1" fillId="0" borderId="23" xfId="35" applyNumberFormat="1" applyFont="1" applyBorder="1" applyAlignment="1" quotePrefix="1">
      <alignment horizontal="center" vertical="center"/>
      <protection/>
    </xf>
    <xf numFmtId="0" fontId="1" fillId="0" borderId="3" xfId="35" applyFont="1" applyBorder="1" applyAlignment="1" quotePrefix="1">
      <alignment horizontal="left" vertical="center"/>
      <protection/>
    </xf>
    <xf numFmtId="183" fontId="1" fillId="0" borderId="25" xfId="35" applyNumberFormat="1" applyFont="1" applyBorder="1" applyAlignment="1">
      <alignment horizontal="center" vertic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Alignment="1">
      <alignment horizontal="center"/>
      <protection/>
    </xf>
    <xf numFmtId="0" fontId="21" fillId="0" borderId="0" xfId="36" applyFont="1">
      <alignment/>
      <protection/>
    </xf>
    <xf numFmtId="0" fontId="17" fillId="0" borderId="0" xfId="36">
      <alignment/>
      <protection/>
    </xf>
    <xf numFmtId="0" fontId="13" fillId="0" borderId="0" xfId="36" applyFont="1" applyAlignment="1">
      <alignment/>
      <protection/>
    </xf>
    <xf numFmtId="0" fontId="13" fillId="0" borderId="0" xfId="36" applyFont="1" applyAlignment="1">
      <alignment horizontal="center"/>
      <protection/>
    </xf>
    <xf numFmtId="0" fontId="13" fillId="0" borderId="0" xfId="29" applyFont="1">
      <alignment/>
      <protection/>
    </xf>
    <xf numFmtId="0" fontId="1" fillId="0" borderId="3" xfId="36" applyFont="1" applyBorder="1" applyAlignment="1">
      <alignment horizontal="center" vertical="center" wrapText="1"/>
      <protection/>
    </xf>
    <xf numFmtId="0" fontId="1" fillId="0" borderId="4" xfId="36" applyFont="1" applyBorder="1" applyAlignment="1">
      <alignment horizontal="center" vertical="center" wrapText="1"/>
      <protection/>
    </xf>
    <xf numFmtId="0" fontId="13" fillId="0" borderId="0" xfId="29" applyFont="1" applyAlignment="1">
      <alignment vertical="center"/>
      <protection/>
    </xf>
    <xf numFmtId="0" fontId="5" fillId="0" borderId="0" xfId="36" applyFont="1">
      <alignment/>
      <protection/>
    </xf>
    <xf numFmtId="0" fontId="1" fillId="0" borderId="0" xfId="36" applyFont="1" applyAlignment="1">
      <alignment/>
      <protection/>
    </xf>
    <xf numFmtId="0" fontId="1" fillId="0" borderId="26" xfId="36" applyFont="1" applyBorder="1" applyAlignment="1">
      <alignment horizontal="center" vertical="center" wrapText="1"/>
      <protection/>
    </xf>
    <xf numFmtId="0" fontId="1" fillId="0" borderId="10" xfId="36" applyFont="1" applyBorder="1" applyAlignment="1">
      <alignment horizontal="center" vertical="center" wrapText="1"/>
      <protection/>
    </xf>
    <xf numFmtId="0" fontId="1" fillId="0" borderId="5" xfId="36" applyFont="1" applyBorder="1" applyAlignment="1">
      <alignment/>
      <protection/>
    </xf>
    <xf numFmtId="184" fontId="13" fillId="0" borderId="5" xfId="36" applyNumberFormat="1" applyFont="1" applyBorder="1" applyAlignment="1">
      <alignment horizontal="right"/>
      <protection/>
    </xf>
    <xf numFmtId="184" fontId="13" fillId="0" borderId="27" xfId="36" applyNumberFormat="1" applyFont="1" applyBorder="1" applyAlignment="1">
      <alignment horizontal="right"/>
      <protection/>
    </xf>
    <xf numFmtId="184" fontId="13" fillId="0" borderId="0" xfId="36" applyNumberFormat="1" applyFont="1" applyBorder="1" applyAlignment="1">
      <alignment horizontal="right"/>
      <protection/>
    </xf>
    <xf numFmtId="184" fontId="13" fillId="0" borderId="28" xfId="36" applyNumberFormat="1" applyFont="1" applyBorder="1" applyAlignment="1">
      <alignment horizontal="right"/>
      <protection/>
    </xf>
    <xf numFmtId="184" fontId="13" fillId="0" borderId="6" xfId="36" applyNumberFormat="1" applyFont="1" applyBorder="1" applyAlignment="1">
      <alignment horizontal="right"/>
      <protection/>
    </xf>
    <xf numFmtId="184" fontId="13" fillId="0" borderId="13" xfId="36" applyNumberFormat="1" applyFont="1" applyBorder="1" applyAlignment="1">
      <alignment horizontal="right"/>
      <protection/>
    </xf>
    <xf numFmtId="184" fontId="13" fillId="0" borderId="12" xfId="36" applyNumberFormat="1" applyFont="1" applyBorder="1" applyAlignment="1">
      <alignment horizontal="right"/>
      <protection/>
    </xf>
    <xf numFmtId="183" fontId="13" fillId="0" borderId="13" xfId="36" applyNumberFormat="1" applyFont="1" applyBorder="1" applyAlignment="1">
      <alignment horizontal="center"/>
      <protection/>
    </xf>
    <xf numFmtId="183" fontId="13" fillId="0" borderId="28" xfId="36" applyNumberFormat="1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183" fontId="13" fillId="0" borderId="12" xfId="36" applyNumberFormat="1" applyFont="1" applyBorder="1" applyAlignment="1">
      <alignment horizontal="center"/>
      <protection/>
    </xf>
    <xf numFmtId="184" fontId="13" fillId="0" borderId="13" xfId="36" applyNumberFormat="1" applyFont="1" applyBorder="1" applyAlignment="1">
      <alignment/>
      <protection/>
    </xf>
    <xf numFmtId="184" fontId="13" fillId="0" borderId="5" xfId="36" applyNumberFormat="1" applyFont="1" applyBorder="1" applyAlignment="1">
      <alignment/>
      <protection/>
    </xf>
    <xf numFmtId="184" fontId="13" fillId="0" borderId="28" xfId="36" applyNumberFormat="1" applyFont="1" applyBorder="1" applyAlignment="1">
      <alignment/>
      <protection/>
    </xf>
    <xf numFmtId="184" fontId="13" fillId="0" borderId="6" xfId="36" applyNumberFormat="1" applyFont="1" applyBorder="1" applyAlignment="1">
      <alignment/>
      <protection/>
    </xf>
    <xf numFmtId="0" fontId="1" fillId="0" borderId="1" xfId="36" applyFont="1" applyBorder="1" applyAlignment="1">
      <alignment/>
      <protection/>
    </xf>
    <xf numFmtId="184" fontId="13" fillId="0" borderId="1" xfId="36" applyNumberFormat="1" applyFont="1" applyBorder="1" applyAlignment="1">
      <alignment horizontal="right"/>
      <protection/>
    </xf>
    <xf numFmtId="184" fontId="13" fillId="0" borderId="9" xfId="36" applyNumberFormat="1" applyFont="1" applyBorder="1" applyAlignment="1">
      <alignment horizontal="right"/>
      <protection/>
    </xf>
    <xf numFmtId="184" fontId="13" fillId="0" borderId="2" xfId="36" applyNumberFormat="1" applyFont="1" applyBorder="1" applyAlignment="1">
      <alignment horizontal="right"/>
      <protection/>
    </xf>
    <xf numFmtId="184" fontId="13" fillId="0" borderId="7" xfId="36" applyNumberFormat="1" applyFont="1" applyBorder="1" applyAlignment="1">
      <alignment horizontal="right"/>
      <protection/>
    </xf>
    <xf numFmtId="184" fontId="13" fillId="0" borderId="29" xfId="36" applyNumberFormat="1" applyFont="1" applyBorder="1" applyAlignment="1">
      <alignment horizontal="right"/>
      <protection/>
    </xf>
    <xf numFmtId="184" fontId="13" fillId="0" borderId="14" xfId="36" applyNumberFormat="1" applyFont="1" applyBorder="1" applyAlignment="1">
      <alignment horizontal="right"/>
      <protection/>
    </xf>
    <xf numFmtId="183" fontId="13" fillId="0" borderId="7" xfId="36" applyNumberFormat="1" applyFont="1" applyBorder="1" applyAlignment="1">
      <alignment horizontal="center"/>
      <protection/>
    </xf>
    <xf numFmtId="184" fontId="13" fillId="0" borderId="8" xfId="36" applyNumberFormat="1" applyFont="1" applyBorder="1" applyAlignment="1">
      <alignment horizontal="right"/>
      <protection/>
    </xf>
    <xf numFmtId="0" fontId="1" fillId="0" borderId="3" xfId="36" applyFont="1" applyBorder="1" applyAlignment="1">
      <alignment/>
      <protection/>
    </xf>
    <xf numFmtId="184" fontId="13" fillId="0" borderId="3" xfId="36" applyNumberFormat="1" applyFont="1" applyBorder="1" applyAlignment="1">
      <alignment horizontal="right"/>
      <protection/>
    </xf>
    <xf numFmtId="184" fontId="13" fillId="0" borderId="26" xfId="36" applyNumberFormat="1" applyFont="1" applyBorder="1" applyAlignment="1">
      <alignment horizontal="right"/>
      <protection/>
    </xf>
    <xf numFmtId="184" fontId="13" fillId="0" borderId="4" xfId="36" applyNumberFormat="1" applyFont="1" applyBorder="1" applyAlignment="1">
      <alignment horizontal="right"/>
      <protection/>
    </xf>
    <xf numFmtId="184" fontId="13" fillId="0" borderId="20" xfId="36" applyNumberFormat="1" applyFont="1" applyBorder="1" applyAlignment="1">
      <alignment horizontal="right"/>
      <protection/>
    </xf>
    <xf numFmtId="0" fontId="0" fillId="0" borderId="0" xfId="36" applyFont="1">
      <alignment/>
      <protection/>
    </xf>
    <xf numFmtId="0" fontId="13" fillId="0" borderId="3" xfId="36" applyFont="1" applyBorder="1" applyAlignment="1">
      <alignment horizontal="center" vertical="center" wrapText="1"/>
      <protection/>
    </xf>
    <xf numFmtId="0" fontId="13" fillId="0" borderId="4" xfId="36" applyFont="1" applyBorder="1" applyAlignment="1">
      <alignment horizontal="center" vertical="center" wrapText="1"/>
      <protection/>
    </xf>
    <xf numFmtId="0" fontId="13" fillId="0" borderId="26" xfId="36" applyFont="1" applyBorder="1" applyAlignment="1">
      <alignment horizontal="center" vertical="center" wrapText="1"/>
      <protection/>
    </xf>
    <xf numFmtId="0" fontId="13" fillId="0" borderId="10" xfId="36" applyFont="1" applyBorder="1" applyAlignment="1">
      <alignment horizontal="center" vertical="center" wrapText="1"/>
      <protection/>
    </xf>
    <xf numFmtId="0" fontId="10" fillId="0" borderId="0" xfId="36" applyFont="1" applyAlignment="1">
      <alignment/>
      <protection/>
    </xf>
    <xf numFmtId="0" fontId="13" fillId="0" borderId="0" xfId="36" applyFont="1">
      <alignment/>
      <protection/>
    </xf>
    <xf numFmtId="0" fontId="13" fillId="0" borderId="0" xfId="36" applyFont="1" applyFill="1" applyAlignment="1">
      <alignment/>
      <protection/>
    </xf>
    <xf numFmtId="0" fontId="13" fillId="0" borderId="0" xfId="36" applyFont="1" applyFill="1" applyAlignment="1">
      <alignment horizontal="center" wrapText="1"/>
      <protection/>
    </xf>
    <xf numFmtId="0" fontId="13" fillId="0" borderId="0" xfId="36" applyFont="1" applyFill="1" applyAlignment="1">
      <alignment wrapText="1"/>
      <protection/>
    </xf>
    <xf numFmtId="0" fontId="13" fillId="0" borderId="0" xfId="36" applyFont="1" applyFill="1">
      <alignment/>
      <protection/>
    </xf>
    <xf numFmtId="0" fontId="14" fillId="0" borderId="0" xfId="38" applyFont="1" applyAlignment="1" quotePrefix="1">
      <alignment horizontal="left"/>
      <protection/>
    </xf>
    <xf numFmtId="0" fontId="13" fillId="0" borderId="0" xfId="38" applyFont="1">
      <alignment/>
      <protection/>
    </xf>
    <xf numFmtId="0" fontId="22" fillId="0" borderId="0" xfId="38" applyFont="1" applyAlignment="1">
      <alignment horizontal="left"/>
      <protection/>
    </xf>
    <xf numFmtId="0" fontId="22" fillId="0" borderId="0" xfId="38" applyFont="1" applyAlignment="1">
      <alignment horizontal="centerContinuous"/>
      <protection/>
    </xf>
    <xf numFmtId="0" fontId="1" fillId="0" borderId="3" xfId="38" applyFont="1" applyBorder="1" applyAlignment="1">
      <alignment horizontal="centerContinuous" vertical="center"/>
      <protection/>
    </xf>
    <xf numFmtId="0" fontId="1" fillId="0" borderId="4" xfId="38" applyFont="1" applyBorder="1" applyAlignment="1">
      <alignment horizontal="centerContinuous" vertical="center"/>
      <protection/>
    </xf>
    <xf numFmtId="0" fontId="1" fillId="0" borderId="20" xfId="38" applyFont="1" applyBorder="1" applyAlignment="1">
      <alignment horizontal="centerContinuous" vertical="center"/>
      <protection/>
    </xf>
    <xf numFmtId="0" fontId="1" fillId="0" borderId="0" xfId="38" applyFont="1">
      <alignment/>
      <protection/>
    </xf>
    <xf numFmtId="0" fontId="1" fillId="0" borderId="25" xfId="38" applyFont="1" applyBorder="1" applyAlignment="1">
      <alignment horizontal="centerContinuous" vertical="center"/>
      <protection/>
    </xf>
    <xf numFmtId="0" fontId="1" fillId="0" borderId="10" xfId="38" applyFont="1" applyBorder="1" applyAlignment="1">
      <alignment horizontal="center" vertical="center" wrapText="1"/>
      <protection/>
    </xf>
    <xf numFmtId="0" fontId="1" fillId="0" borderId="17" xfId="38" applyFont="1" applyBorder="1" applyAlignment="1">
      <alignment vertical="center"/>
      <protection/>
    </xf>
    <xf numFmtId="183" fontId="1" fillId="0" borderId="30" xfId="38" applyNumberFormat="1" applyFont="1" applyBorder="1" applyAlignment="1">
      <alignment horizontal="right" vertical="center"/>
      <protection/>
    </xf>
    <xf numFmtId="168" fontId="1" fillId="0" borderId="11" xfId="38" applyNumberFormat="1" applyFont="1" applyBorder="1" applyAlignment="1">
      <alignment horizontal="right" vertical="center"/>
      <protection/>
    </xf>
    <xf numFmtId="183" fontId="1" fillId="0" borderId="2" xfId="38" applyNumberFormat="1" applyFont="1" applyBorder="1" applyAlignment="1">
      <alignment horizontal="right" vertical="center"/>
      <protection/>
    </xf>
    <xf numFmtId="0" fontId="1" fillId="0" borderId="16" xfId="38" applyFont="1" applyBorder="1" applyAlignment="1">
      <alignment vertical="center"/>
      <protection/>
    </xf>
    <xf numFmtId="183" fontId="1" fillId="0" borderId="23" xfId="38" applyNumberFormat="1" applyFont="1" applyBorder="1" applyAlignment="1">
      <alignment horizontal="right" vertical="center"/>
      <protection/>
    </xf>
    <xf numFmtId="168" fontId="1" fillId="0" borderId="12" xfId="38" applyNumberFormat="1" applyFont="1" applyBorder="1" applyAlignment="1">
      <alignment horizontal="right" vertical="center"/>
      <protection/>
    </xf>
    <xf numFmtId="183" fontId="1" fillId="0" borderId="6" xfId="38" applyNumberFormat="1" applyFont="1" applyBorder="1" applyAlignment="1">
      <alignment horizontal="right" vertical="center"/>
      <protection/>
    </xf>
    <xf numFmtId="183" fontId="1" fillId="0" borderId="11" xfId="38" applyNumberFormat="1" applyFont="1" applyBorder="1" applyAlignment="1">
      <alignment horizontal="right" vertical="center"/>
      <protection/>
    </xf>
    <xf numFmtId="0" fontId="1" fillId="0" borderId="19" xfId="38" applyFont="1" applyBorder="1" applyAlignment="1">
      <alignment vertical="center"/>
      <protection/>
    </xf>
    <xf numFmtId="183" fontId="1" fillId="0" borderId="25" xfId="38" applyNumberFormat="1" applyFont="1" applyBorder="1" applyAlignment="1">
      <alignment horizontal="right" vertical="center"/>
      <protection/>
    </xf>
    <xf numFmtId="183" fontId="1" fillId="0" borderId="10" xfId="38" applyNumberFormat="1" applyFont="1" applyBorder="1" applyAlignment="1">
      <alignment horizontal="right" vertical="center"/>
      <protection/>
    </xf>
    <xf numFmtId="183" fontId="1" fillId="0" borderId="4" xfId="38" applyNumberFormat="1" applyFont="1" applyBorder="1" applyAlignment="1">
      <alignment horizontal="right" vertical="center"/>
      <protection/>
    </xf>
    <xf numFmtId="0" fontId="1" fillId="0" borderId="0" xfId="38" applyFont="1" applyBorder="1" applyAlignment="1">
      <alignment vertical="center"/>
      <protection/>
    </xf>
    <xf numFmtId="183" fontId="1" fillId="0" borderId="0" xfId="38" applyNumberFormat="1" applyFont="1" applyBorder="1" applyAlignment="1">
      <alignment horizontal="right" vertical="center"/>
      <protection/>
    </xf>
    <xf numFmtId="168" fontId="1" fillId="0" borderId="0" xfId="38" applyNumberFormat="1" applyFont="1" applyBorder="1" applyAlignment="1">
      <alignment horizontal="right" vertical="center"/>
      <protection/>
    </xf>
    <xf numFmtId="0" fontId="14" fillId="0" borderId="0" xfId="38" applyFont="1" applyBorder="1" applyAlignment="1" quotePrefix="1">
      <alignment horizontal="left"/>
      <protection/>
    </xf>
    <xf numFmtId="0" fontId="3" fillId="0" borderId="0" xfId="38" applyFont="1" applyAlignment="1">
      <alignment horizontal="left"/>
      <protection/>
    </xf>
    <xf numFmtId="0" fontId="1" fillId="0" borderId="9" xfId="38" applyFont="1" applyBorder="1" applyAlignment="1">
      <alignment horizontal="centerContinuous" vertical="center"/>
      <protection/>
    </xf>
    <xf numFmtId="0" fontId="1" fillId="0" borderId="2" xfId="38" applyFont="1" applyBorder="1" applyAlignment="1">
      <alignment horizontal="centerContinuous" vertical="center"/>
      <protection/>
    </xf>
    <xf numFmtId="0" fontId="1" fillId="0" borderId="10" xfId="38" applyFont="1" applyBorder="1" applyAlignment="1">
      <alignment horizontal="centerContinuous" vertical="center"/>
      <protection/>
    </xf>
    <xf numFmtId="183" fontId="1" fillId="0" borderId="9" xfId="38" applyNumberFormat="1" applyFont="1" applyBorder="1" applyAlignment="1">
      <alignment horizontal="right" vertical="center"/>
      <protection/>
    </xf>
    <xf numFmtId="183" fontId="1" fillId="0" borderId="20" xfId="38" applyNumberFormat="1" applyFont="1" applyBorder="1" applyAlignment="1">
      <alignment horizontal="right" vertical="center"/>
      <protection/>
    </xf>
    <xf numFmtId="0" fontId="13" fillId="0" borderId="0" xfId="38" applyFont="1">
      <alignment/>
      <protection/>
    </xf>
    <xf numFmtId="0" fontId="14" fillId="0" borderId="0" xfId="39" applyFont="1" applyAlignment="1" quotePrefix="1">
      <alignment horizontal="left"/>
      <protection/>
    </xf>
    <xf numFmtId="0" fontId="13" fillId="0" borderId="0" xfId="39" applyFont="1">
      <alignment/>
      <protection/>
    </xf>
    <xf numFmtId="0" fontId="1" fillId="0" borderId="0" xfId="39" applyFont="1">
      <alignment/>
      <protection/>
    </xf>
    <xf numFmtId="0" fontId="1" fillId="0" borderId="22" xfId="39" applyFont="1" applyBorder="1" applyAlignment="1">
      <alignment horizontal="center"/>
      <protection/>
    </xf>
    <xf numFmtId="0" fontId="1" fillId="0" borderId="26" xfId="39" applyFont="1" applyBorder="1" applyAlignment="1">
      <alignment horizontal="center"/>
      <protection/>
    </xf>
    <xf numFmtId="0" fontId="1" fillId="0" borderId="8" xfId="39" applyFont="1" applyBorder="1" applyAlignment="1">
      <alignment horizontal="center"/>
      <protection/>
    </xf>
    <xf numFmtId="0" fontId="3" fillId="0" borderId="5" xfId="39" applyFont="1" applyBorder="1" applyAlignment="1">
      <alignment/>
      <protection/>
    </xf>
    <xf numFmtId="0" fontId="1" fillId="0" borderId="0" xfId="39" applyFont="1" applyBorder="1">
      <alignment/>
      <protection/>
    </xf>
    <xf numFmtId="0" fontId="1" fillId="0" borderId="20" xfId="39" applyFont="1" applyBorder="1">
      <alignment/>
      <protection/>
    </xf>
    <xf numFmtId="0" fontId="1" fillId="0" borderId="4" xfId="39" applyFont="1" applyBorder="1">
      <alignment/>
      <protection/>
    </xf>
    <xf numFmtId="0" fontId="1" fillId="0" borderId="1" xfId="39" applyFont="1" applyBorder="1" applyAlignment="1">
      <alignment horizontal="center"/>
      <protection/>
    </xf>
    <xf numFmtId="0" fontId="3" fillId="0" borderId="9" xfId="39" applyFont="1" applyBorder="1" applyAlignment="1">
      <alignment horizontal="center"/>
      <protection/>
    </xf>
    <xf numFmtId="0" fontId="3" fillId="0" borderId="2" xfId="39" applyFont="1" applyBorder="1" applyAlignment="1">
      <alignment/>
      <protection/>
    </xf>
    <xf numFmtId="3" fontId="1" fillId="0" borderId="31" xfId="39" applyNumberFormat="1" applyFont="1" applyBorder="1" applyAlignment="1">
      <alignment/>
      <protection/>
    </xf>
    <xf numFmtId="3" fontId="1" fillId="0" borderId="27" xfId="39" applyNumberFormat="1" applyFont="1" applyBorder="1" applyAlignment="1">
      <alignment/>
      <protection/>
    </xf>
    <xf numFmtId="3" fontId="1" fillId="0" borderId="11" xfId="39" applyNumberFormat="1" applyFont="1" applyBorder="1" applyAlignment="1">
      <alignment/>
      <protection/>
    </xf>
    <xf numFmtId="0" fontId="1" fillId="0" borderId="0" xfId="39" applyFont="1" applyAlignment="1">
      <alignment/>
      <protection/>
    </xf>
    <xf numFmtId="0" fontId="1" fillId="0" borderId="5" xfId="39" applyFont="1" applyBorder="1" applyAlignment="1">
      <alignment horizontal="center"/>
      <protection/>
    </xf>
    <xf numFmtId="0" fontId="3" fillId="0" borderId="0" xfId="39" applyFont="1" applyBorder="1" applyAlignment="1">
      <alignment horizontal="center"/>
      <protection/>
    </xf>
    <xf numFmtId="0" fontId="1" fillId="0" borderId="6" xfId="39" applyFont="1" applyBorder="1" applyAlignment="1">
      <alignment/>
      <protection/>
    </xf>
    <xf numFmtId="3" fontId="1" fillId="0" borderId="13" xfId="39" applyNumberFormat="1" applyFont="1" applyBorder="1" applyAlignment="1">
      <alignment/>
      <protection/>
    </xf>
    <xf numFmtId="3" fontId="1" fillId="0" borderId="28" xfId="39" applyNumberFormat="1" applyFont="1" applyBorder="1" applyAlignment="1">
      <alignment/>
      <protection/>
    </xf>
    <xf numFmtId="3" fontId="1" fillId="0" borderId="12" xfId="39" applyNumberFormat="1" applyFont="1" applyBorder="1" applyAlignment="1">
      <alignment/>
      <protection/>
    </xf>
    <xf numFmtId="0" fontId="3" fillId="0" borderId="6" xfId="39" applyFont="1" applyBorder="1" applyAlignment="1">
      <alignment horizontal="center"/>
      <protection/>
    </xf>
    <xf numFmtId="0" fontId="3" fillId="0" borderId="3" xfId="39" applyFont="1" applyBorder="1" applyAlignment="1">
      <alignment horizontal="centerContinuous"/>
      <protection/>
    </xf>
    <xf numFmtId="0" fontId="1" fillId="0" borderId="20" xfId="39" applyFont="1" applyBorder="1" applyAlignment="1">
      <alignment horizontal="centerContinuous"/>
      <protection/>
    </xf>
    <xf numFmtId="0" fontId="1" fillId="0" borderId="4" xfId="39" applyFont="1" applyBorder="1" applyAlignment="1">
      <alignment horizontal="centerContinuous"/>
      <protection/>
    </xf>
    <xf numFmtId="3" fontId="1" fillId="0" borderId="22" xfId="39" applyNumberFormat="1" applyFont="1" applyBorder="1" applyAlignment="1">
      <alignment/>
      <protection/>
    </xf>
    <xf numFmtId="3" fontId="1" fillId="0" borderId="26" xfId="39" applyNumberFormat="1" applyFont="1" applyBorder="1" applyAlignment="1">
      <alignment/>
      <protection/>
    </xf>
    <xf numFmtId="3" fontId="1" fillId="0" borderId="10" xfId="39" applyNumberFormat="1" applyFont="1" applyBorder="1" applyAlignment="1">
      <alignment/>
      <protection/>
    </xf>
    <xf numFmtId="0" fontId="1" fillId="0" borderId="9" xfId="39" applyFont="1" applyBorder="1" applyAlignment="1">
      <alignment/>
      <protection/>
    </xf>
    <xf numFmtId="0" fontId="1" fillId="0" borderId="2" xfId="39" applyFont="1" applyBorder="1" applyAlignment="1">
      <alignment/>
      <protection/>
    </xf>
    <xf numFmtId="0" fontId="1" fillId="0" borderId="9" xfId="39" applyFont="1" applyBorder="1" applyAlignment="1">
      <alignment horizontal="centerContinuous"/>
      <protection/>
    </xf>
    <xf numFmtId="0" fontId="1" fillId="0" borderId="20" xfId="39" applyFont="1" applyBorder="1" applyAlignment="1">
      <alignment/>
      <protection/>
    </xf>
    <xf numFmtId="0" fontId="1" fillId="0" borderId="8" xfId="39" applyFont="1" applyBorder="1" applyAlignment="1">
      <alignment/>
      <protection/>
    </xf>
    <xf numFmtId="0" fontId="3" fillId="0" borderId="7" xfId="39" applyFont="1" applyBorder="1" applyAlignment="1">
      <alignment/>
      <protection/>
    </xf>
    <xf numFmtId="3" fontId="1" fillId="0" borderId="20" xfId="39" applyNumberFormat="1" applyFont="1" applyBorder="1" applyAlignment="1">
      <alignment horizontal="right"/>
      <protection/>
    </xf>
    <xf numFmtId="0" fontId="1" fillId="0" borderId="4" xfId="39" applyFont="1" applyBorder="1" applyAlignment="1">
      <alignment/>
      <protection/>
    </xf>
    <xf numFmtId="0" fontId="3" fillId="0" borderId="4" xfId="39" applyFont="1" applyBorder="1" applyAlignment="1">
      <alignment horizontal="centerContinuous"/>
      <protection/>
    </xf>
    <xf numFmtId="0" fontId="14" fillId="0" borderId="6" xfId="40" applyFont="1" applyBorder="1" applyAlignment="1" quotePrefix="1">
      <alignment horizontal="left"/>
      <protection/>
    </xf>
    <xf numFmtId="0" fontId="13" fillId="0" borderId="0" xfId="40" applyFont="1">
      <alignment/>
      <protection/>
    </xf>
    <xf numFmtId="0" fontId="14" fillId="0" borderId="0" xfId="40" applyFont="1" applyAlignment="1">
      <alignment/>
      <protection/>
    </xf>
    <xf numFmtId="0" fontId="1" fillId="0" borderId="0" xfId="40" applyFont="1" applyAlignment="1">
      <alignment/>
      <protection/>
    </xf>
    <xf numFmtId="0" fontId="1" fillId="0" borderId="20" xfId="40" applyFont="1" applyBorder="1" applyAlignment="1">
      <alignment horizontal="centerContinuous" vertical="center"/>
      <protection/>
    </xf>
    <xf numFmtId="0" fontId="1" fillId="0" borderId="4" xfId="40" applyFont="1" applyBorder="1" applyAlignment="1">
      <alignment horizontal="centerContinuous" vertical="center"/>
      <protection/>
    </xf>
    <xf numFmtId="0" fontId="1" fillId="0" borderId="21" xfId="40" applyFont="1" applyBorder="1" applyAlignment="1">
      <alignment horizontal="centerContinuous" vertical="center"/>
      <protection/>
    </xf>
    <xf numFmtId="0" fontId="1" fillId="0" borderId="8" xfId="40" applyFont="1" applyBorder="1" applyAlignment="1">
      <alignment horizontal="centerContinuous" vertical="center"/>
      <protection/>
    </xf>
    <xf numFmtId="0" fontId="1" fillId="0" borderId="22" xfId="40" applyFont="1" applyBorder="1" applyAlignment="1">
      <alignment horizontal="center"/>
      <protection/>
    </xf>
    <xf numFmtId="0" fontId="1" fillId="0" borderId="26" xfId="40" applyFont="1" applyBorder="1" applyAlignment="1">
      <alignment horizontal="center"/>
      <protection/>
    </xf>
    <xf numFmtId="0" fontId="1" fillId="0" borderId="8" xfId="40" applyFont="1" applyBorder="1" applyAlignment="1">
      <alignment horizontal="center"/>
      <protection/>
    </xf>
    <xf numFmtId="0" fontId="3" fillId="0" borderId="5" xfId="40" applyFont="1" applyBorder="1" applyAlignment="1">
      <alignment/>
      <protection/>
    </xf>
    <xf numFmtId="0" fontId="1" fillId="0" borderId="0" xfId="40" applyFont="1" applyBorder="1">
      <alignment/>
      <protection/>
    </xf>
    <xf numFmtId="183" fontId="1" fillId="0" borderId="20" xfId="40" applyNumberFormat="1" applyFont="1" applyBorder="1" applyAlignment="1">
      <alignment horizontal="right"/>
      <protection/>
    </xf>
    <xf numFmtId="183" fontId="1" fillId="0" borderId="0" xfId="40" applyNumberFormat="1" applyFont="1" applyBorder="1" applyAlignment="1">
      <alignment horizontal="right"/>
      <protection/>
    </xf>
    <xf numFmtId="0" fontId="1" fillId="0" borderId="20" xfId="40" applyFont="1" applyBorder="1">
      <alignment/>
      <protection/>
    </xf>
    <xf numFmtId="0" fontId="1" fillId="0" borderId="0" xfId="40" applyFont="1">
      <alignment/>
      <protection/>
    </xf>
    <xf numFmtId="0" fontId="1" fillId="0" borderId="4" xfId="40" applyFont="1" applyBorder="1">
      <alignment/>
      <protection/>
    </xf>
    <xf numFmtId="0" fontId="1" fillId="0" borderId="1" xfId="40" applyFont="1" applyBorder="1" applyAlignment="1">
      <alignment horizontal="center" vertical="center"/>
      <protection/>
    </xf>
    <xf numFmtId="0" fontId="1" fillId="0" borderId="9" xfId="40" applyFont="1" applyBorder="1">
      <alignment/>
      <protection/>
    </xf>
    <xf numFmtId="0" fontId="3" fillId="0" borderId="2" xfId="40" applyFont="1" applyBorder="1" applyAlignment="1">
      <alignment horizontal="left" vertical="center"/>
      <protection/>
    </xf>
    <xf numFmtId="183" fontId="1" fillId="0" borderId="30" xfId="40" applyNumberFormat="1" applyFont="1" applyBorder="1" applyAlignment="1">
      <alignment horizontal="right" vertical="center"/>
      <protection/>
    </xf>
    <xf numFmtId="183" fontId="1" fillId="0" borderId="27" xfId="40" applyNumberFormat="1" applyFont="1" applyBorder="1" applyAlignment="1">
      <alignment horizontal="right" vertical="center"/>
      <protection/>
    </xf>
    <xf numFmtId="183" fontId="1" fillId="0" borderId="2" xfId="40" applyNumberFormat="1" applyFont="1" applyBorder="1" applyAlignment="1">
      <alignment horizontal="right" vertical="center"/>
      <protection/>
    </xf>
    <xf numFmtId="3" fontId="1" fillId="0" borderId="31" xfId="40" applyNumberFormat="1" applyFont="1" applyBorder="1" applyAlignment="1">
      <alignment horizontal="right" vertical="center"/>
      <protection/>
    </xf>
    <xf numFmtId="3" fontId="1" fillId="0" borderId="27" xfId="40" applyNumberFormat="1" applyFont="1" applyBorder="1" applyAlignment="1">
      <alignment horizontal="right" vertical="center"/>
      <protection/>
    </xf>
    <xf numFmtId="3" fontId="1" fillId="0" borderId="11" xfId="40" applyNumberFormat="1" applyFont="1" applyBorder="1" applyAlignment="1">
      <alignment horizontal="right" vertical="center"/>
      <protection/>
    </xf>
    <xf numFmtId="0" fontId="1" fillId="0" borderId="5" xfId="40" applyFont="1" applyBorder="1" applyAlignment="1">
      <alignment horizontal="center" vertical="center"/>
      <protection/>
    </xf>
    <xf numFmtId="0" fontId="3" fillId="0" borderId="6" xfId="40" applyFont="1" applyBorder="1" applyAlignment="1">
      <alignment horizontal="left" vertical="center"/>
      <protection/>
    </xf>
    <xf numFmtId="183" fontId="1" fillId="0" borderId="13" xfId="40" applyNumberFormat="1" applyFont="1" applyBorder="1" applyAlignment="1">
      <alignment horizontal="right" vertical="center"/>
      <protection/>
    </xf>
    <xf numFmtId="183" fontId="1" fillId="0" borderId="23" xfId="40" applyNumberFormat="1" applyFont="1" applyBorder="1" applyAlignment="1">
      <alignment horizontal="right" vertical="center"/>
      <protection/>
    </xf>
    <xf numFmtId="183" fontId="1" fillId="0" borderId="6" xfId="40" applyNumberFormat="1" applyFont="1" applyBorder="1" applyAlignment="1">
      <alignment horizontal="right" vertical="center"/>
      <protection/>
    </xf>
    <xf numFmtId="3" fontId="1" fillId="0" borderId="13" xfId="40" applyNumberFormat="1" applyFont="1" applyBorder="1" applyAlignment="1">
      <alignment horizontal="right" vertical="center"/>
      <protection/>
    </xf>
    <xf numFmtId="3" fontId="1" fillId="0" borderId="28" xfId="40" applyNumberFormat="1" applyFont="1" applyBorder="1" applyAlignment="1">
      <alignment horizontal="right" vertical="center"/>
      <protection/>
    </xf>
    <xf numFmtId="3" fontId="1" fillId="0" borderId="12" xfId="40" applyNumberFormat="1" applyFont="1" applyBorder="1" applyAlignment="1">
      <alignment horizontal="right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6" xfId="40" applyFont="1" applyBorder="1" applyAlignment="1">
      <alignment horizontal="left" vertical="center"/>
      <protection/>
    </xf>
    <xf numFmtId="183" fontId="1" fillId="0" borderId="29" xfId="40" applyNumberFormat="1" applyFont="1" applyBorder="1" applyAlignment="1">
      <alignment horizontal="right" vertical="center"/>
      <protection/>
    </xf>
    <xf numFmtId="0" fontId="3" fillId="0" borderId="3" xfId="40" applyFont="1" applyBorder="1" applyAlignment="1">
      <alignment horizontal="centerContinuous" vertical="center"/>
      <protection/>
    </xf>
    <xf numFmtId="0" fontId="3" fillId="0" borderId="20" xfId="40" applyFont="1" applyBorder="1" applyAlignment="1">
      <alignment horizontal="centerContinuous" vertical="center"/>
      <protection/>
    </xf>
    <xf numFmtId="0" fontId="3" fillId="0" borderId="4" xfId="40" applyFont="1" applyBorder="1" applyAlignment="1">
      <alignment horizontal="centerContinuous" vertical="center"/>
      <protection/>
    </xf>
    <xf numFmtId="183" fontId="1" fillId="0" borderId="25" xfId="40" applyNumberFormat="1" applyFont="1" applyBorder="1" applyAlignment="1">
      <alignment horizontal="right" vertical="center"/>
      <protection/>
    </xf>
    <xf numFmtId="183" fontId="1" fillId="0" borderId="4" xfId="40" applyNumberFormat="1" applyFont="1" applyBorder="1" applyAlignment="1">
      <alignment horizontal="right" vertical="center"/>
      <protection/>
    </xf>
    <xf numFmtId="3" fontId="1" fillId="0" borderId="22" xfId="40" applyNumberFormat="1" applyFont="1" applyBorder="1" applyAlignment="1">
      <alignment horizontal="right" vertical="center"/>
      <protection/>
    </xf>
    <xf numFmtId="3" fontId="1" fillId="0" borderId="26" xfId="40" applyNumberFormat="1" applyFont="1" applyBorder="1" applyAlignment="1">
      <alignment horizontal="right" vertical="center"/>
      <protection/>
    </xf>
    <xf numFmtId="3" fontId="1" fillId="0" borderId="10" xfId="40" applyNumberFormat="1" applyFont="1" applyBorder="1" applyAlignment="1">
      <alignment horizontal="right" vertical="center"/>
      <protection/>
    </xf>
    <xf numFmtId="0" fontId="3" fillId="0" borderId="1" xfId="40" applyFont="1" applyBorder="1" applyAlignment="1">
      <alignment/>
      <protection/>
    </xf>
    <xf numFmtId="0" fontId="1" fillId="0" borderId="2" xfId="40" applyFont="1" applyBorder="1">
      <alignment/>
      <protection/>
    </xf>
    <xf numFmtId="0" fontId="1" fillId="0" borderId="9" xfId="40" applyFont="1" applyBorder="1" applyAlignment="1">
      <alignment horizontal="centerContinuous" vertical="center"/>
      <protection/>
    </xf>
    <xf numFmtId="0" fontId="1" fillId="0" borderId="0" xfId="40" applyFont="1" applyBorder="1" applyAlignment="1">
      <alignment horizontal="centerContinuous" vertical="center"/>
      <protection/>
    </xf>
    <xf numFmtId="0" fontId="1" fillId="0" borderId="20" xfId="40" applyFont="1" applyBorder="1" applyAlignment="1">
      <alignment/>
      <protection/>
    </xf>
    <xf numFmtId="0" fontId="1" fillId="0" borderId="0" xfId="40" applyFont="1" applyAlignment="1">
      <alignment/>
      <protection/>
    </xf>
    <xf numFmtId="0" fontId="1" fillId="0" borderId="4" xfId="40" applyFont="1" applyBorder="1" applyAlignment="1">
      <alignment/>
      <protection/>
    </xf>
    <xf numFmtId="0" fontId="1" fillId="0" borderId="7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3" xfId="40" applyFont="1" applyBorder="1" applyAlignment="1">
      <alignment/>
      <protection/>
    </xf>
    <xf numFmtId="183" fontId="1" fillId="0" borderId="28" xfId="40" applyNumberFormat="1" applyFont="1" applyBorder="1" applyAlignment="1">
      <alignment horizontal="right" vertical="center"/>
      <protection/>
    </xf>
    <xf numFmtId="183" fontId="1" fillId="0" borderId="11" xfId="40" applyNumberFormat="1" applyFont="1" applyBorder="1" applyAlignment="1">
      <alignment horizontal="right" vertical="center"/>
      <protection/>
    </xf>
    <xf numFmtId="183" fontId="1" fillId="0" borderId="12" xfId="40" applyNumberFormat="1" applyFont="1" applyBorder="1" applyAlignment="1">
      <alignment horizontal="right" vertical="center"/>
      <protection/>
    </xf>
    <xf numFmtId="183" fontId="1" fillId="0" borderId="26" xfId="40" applyNumberFormat="1" applyFont="1" applyBorder="1" applyAlignment="1">
      <alignment horizontal="right" vertical="center"/>
      <protection/>
    </xf>
    <xf numFmtId="183" fontId="1" fillId="0" borderId="10" xfId="40" applyNumberFormat="1" applyFont="1" applyBorder="1" applyAlignment="1">
      <alignment horizontal="right" vertical="center"/>
      <protection/>
    </xf>
    <xf numFmtId="0" fontId="14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textRotation="90"/>
    </xf>
    <xf numFmtId="170" fontId="13" fillId="0" borderId="25" xfId="0" applyNumberFormat="1" applyFont="1" applyBorder="1" applyAlignment="1">
      <alignment horizontal="center" textRotation="90"/>
    </xf>
    <xf numFmtId="0" fontId="13" fillId="0" borderId="4" xfId="0" applyFont="1" applyBorder="1" applyAlignment="1">
      <alignment horizontal="left" vertical="center" textRotation="90"/>
    </xf>
    <xf numFmtId="0" fontId="13" fillId="0" borderId="4" xfId="0" applyFont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9" fontId="1" fillId="0" borderId="17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vertical="center"/>
    </xf>
    <xf numFmtId="169" fontId="1" fillId="0" borderId="2" xfId="0" applyNumberFormat="1" applyFont="1" applyBorder="1" applyAlignment="1">
      <alignment horizontal="right" vertical="center"/>
    </xf>
    <xf numFmtId="169" fontId="1" fillId="0" borderId="31" xfId="0" applyNumberFormat="1" applyFont="1" applyBorder="1" applyAlignment="1">
      <alignment vertical="center"/>
    </xf>
    <xf numFmtId="169" fontId="1" fillId="0" borderId="30" xfId="0" applyNumberFormat="1" applyFont="1" applyBorder="1" applyAlignment="1">
      <alignment vertical="center"/>
    </xf>
    <xf numFmtId="169" fontId="1" fillId="0" borderId="11" xfId="0" applyNumberFormat="1" applyFont="1" applyBorder="1" applyAlignment="1">
      <alignment horizontal="right" vertical="center"/>
    </xf>
    <xf numFmtId="169" fontId="1" fillId="0" borderId="2" xfId="0" applyNumberFormat="1" applyFont="1" applyFill="1" applyBorder="1" applyAlignment="1">
      <alignment vertical="center"/>
    </xf>
    <xf numFmtId="169" fontId="13" fillId="0" borderId="0" xfId="0" applyNumberFormat="1" applyFont="1" applyFill="1" applyBorder="1" applyAlignment="1">
      <alignment horizontal="center" vertical="center"/>
    </xf>
    <xf numFmtId="169" fontId="1" fillId="0" borderId="6" xfId="0" applyNumberFormat="1" applyFont="1" applyBorder="1" applyAlignment="1">
      <alignment vertical="center"/>
    </xf>
    <xf numFmtId="169" fontId="1" fillId="0" borderId="6" xfId="0" applyNumberFormat="1" applyFont="1" applyBorder="1" applyAlignment="1">
      <alignment horizontal="right" vertical="center"/>
    </xf>
    <xf numFmtId="169" fontId="1" fillId="0" borderId="13" xfId="0" applyNumberFormat="1" applyFont="1" applyBorder="1" applyAlignment="1">
      <alignment vertical="center"/>
    </xf>
    <xf numFmtId="169" fontId="1" fillId="0" borderId="23" xfId="0" applyNumberFormat="1" applyFont="1" applyBorder="1" applyAlignment="1">
      <alignment vertical="center"/>
    </xf>
    <xf numFmtId="186" fontId="1" fillId="0" borderId="23" xfId="0" applyNumberFormat="1" applyFont="1" applyBorder="1" applyAlignment="1" quotePrefix="1">
      <alignment horizontal="center" vertical="center"/>
    </xf>
    <xf numFmtId="169" fontId="1" fillId="0" borderId="6" xfId="0" applyNumberFormat="1" applyFont="1" applyFill="1" applyBorder="1" applyAlignment="1">
      <alignment vertical="center"/>
    </xf>
    <xf numFmtId="169" fontId="1" fillId="0" borderId="12" xfId="0" applyNumberFormat="1" applyFont="1" applyBorder="1" applyAlignment="1">
      <alignment horizontal="right" vertical="center"/>
    </xf>
    <xf numFmtId="169" fontId="1" fillId="0" borderId="24" xfId="0" applyNumberFormat="1" applyFont="1" applyBorder="1" applyAlignment="1">
      <alignment horizontal="right" vertical="center"/>
    </xf>
    <xf numFmtId="169" fontId="1" fillId="0" borderId="27" xfId="0" applyNumberFormat="1" applyFont="1" applyBorder="1" applyAlignment="1">
      <alignment vertical="center"/>
    </xf>
    <xf numFmtId="169" fontId="1" fillId="0" borderId="27" xfId="0" applyNumberFormat="1" applyFont="1" applyBorder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 quotePrefix="1">
      <alignment vertical="center"/>
    </xf>
    <xf numFmtId="187" fontId="1" fillId="0" borderId="23" xfId="0" applyNumberFormat="1" applyFont="1" applyBorder="1" applyAlignment="1">
      <alignment vertical="center"/>
    </xf>
    <xf numFmtId="185" fontId="1" fillId="0" borderId="23" xfId="0" applyNumberFormat="1" applyFont="1" applyBorder="1" applyAlignment="1">
      <alignment vertical="center"/>
    </xf>
    <xf numFmtId="185" fontId="1" fillId="0" borderId="24" xfId="0" applyNumberFormat="1" applyFont="1" applyBorder="1" applyAlignment="1">
      <alignment horizontal="center" vertical="center"/>
    </xf>
    <xf numFmtId="169" fontId="1" fillId="0" borderId="18" xfId="0" applyNumberFormat="1" applyFont="1" applyFill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9" fontId="1" fillId="0" borderId="4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169" fontId="1" fillId="0" borderId="4" xfId="0" applyNumberFormat="1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169" fontId="10" fillId="0" borderId="9" xfId="0" applyNumberFormat="1" applyFont="1" applyBorder="1" applyAlignment="1">
      <alignment vertical="center"/>
    </xf>
    <xf numFmtId="169" fontId="10" fillId="0" borderId="9" xfId="0" applyNumberFormat="1" applyFont="1" applyBorder="1" applyAlignment="1">
      <alignment horizontal="right" vertical="center"/>
    </xf>
    <xf numFmtId="169" fontId="10" fillId="0" borderId="9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textRotation="90"/>
    </xf>
    <xf numFmtId="168" fontId="13" fillId="0" borderId="0" xfId="0" applyNumberFormat="1" applyFont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" fillId="0" borderId="0" xfId="0" applyFont="1" applyAlignment="1" quotePrefix="1">
      <alignment horizontal="left"/>
    </xf>
    <xf numFmtId="0" fontId="13" fillId="0" borderId="14" xfId="0" applyFont="1" applyBorder="1" applyAlignment="1">
      <alignment horizontal="center" vertical="center" textRotation="90"/>
    </xf>
    <xf numFmtId="168" fontId="13" fillId="0" borderId="14" xfId="0" applyNumberFormat="1" applyFont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16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1" fillId="0" borderId="23" xfId="0" applyNumberFormat="1" applyFont="1" applyBorder="1" applyAlignment="1" quotePrefix="1">
      <alignment vertical="center"/>
    </xf>
    <xf numFmtId="169" fontId="1" fillId="0" borderId="12" xfId="0" applyNumberFormat="1" applyFont="1" applyBorder="1" applyAlignment="1">
      <alignment vertical="center"/>
    </xf>
    <xf numFmtId="169" fontId="1" fillId="0" borderId="19" xfId="0" applyNumberFormat="1" applyFont="1" applyBorder="1" applyAlignment="1">
      <alignment vertical="center"/>
    </xf>
    <xf numFmtId="169" fontId="1" fillId="0" borderId="22" xfId="0" applyNumberFormat="1" applyFont="1" applyBorder="1" applyAlignment="1">
      <alignment vertical="center"/>
    </xf>
    <xf numFmtId="169" fontId="1" fillId="0" borderId="25" xfId="0" applyNumberFormat="1" applyFont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29" applyFont="1">
      <alignment/>
      <protection/>
    </xf>
    <xf numFmtId="0" fontId="1" fillId="0" borderId="0" xfId="29" applyFont="1">
      <alignment/>
      <protection/>
    </xf>
    <xf numFmtId="166" fontId="0" fillId="0" borderId="0" xfId="0" applyNumberFormat="1" applyAlignment="1">
      <alignment horizontal="left"/>
    </xf>
    <xf numFmtId="166" fontId="13" fillId="0" borderId="0" xfId="29" applyNumberFormat="1" applyFont="1">
      <alignment/>
      <protection/>
    </xf>
    <xf numFmtId="0" fontId="4" fillId="0" borderId="0" xfId="29" applyFont="1">
      <alignment/>
      <protection/>
    </xf>
    <xf numFmtId="0" fontId="1" fillId="0" borderId="32" xfId="29" applyFont="1" applyBorder="1" applyAlignment="1">
      <alignment horizontal="centerContinuous" vertical="center"/>
      <protection/>
    </xf>
    <xf numFmtId="0" fontId="1" fillId="0" borderId="32" xfId="29" applyFont="1" applyBorder="1" applyAlignment="1">
      <alignment horizontal="centerContinuous"/>
      <protection/>
    </xf>
    <xf numFmtId="0" fontId="1" fillId="0" borderId="33" xfId="29" applyFont="1" applyBorder="1" applyAlignment="1">
      <alignment horizontal="centerContinuous"/>
      <protection/>
    </xf>
    <xf numFmtId="0" fontId="1" fillId="0" borderId="22" xfId="29" applyFont="1" applyBorder="1" applyAlignment="1">
      <alignment horizontal="centerContinuous" vertical="center" wrapText="1"/>
      <protection/>
    </xf>
    <xf numFmtId="0" fontId="1" fillId="0" borderId="26" xfId="29" applyFont="1" applyBorder="1" applyAlignment="1">
      <alignment horizontal="centerContinuous" vertical="center" wrapText="1"/>
      <protection/>
    </xf>
    <xf numFmtId="0" fontId="1" fillId="0" borderId="34" xfId="29" applyFont="1" applyBorder="1" applyAlignment="1">
      <alignment horizontal="center" vertical="center" wrapText="1"/>
      <protection/>
    </xf>
    <xf numFmtId="0" fontId="4" fillId="0" borderId="35" xfId="29" applyFont="1" applyBorder="1" applyAlignment="1">
      <alignment vertical="center" readingOrder="2"/>
      <protection/>
    </xf>
    <xf numFmtId="0" fontId="22" fillId="0" borderId="0" xfId="29" applyFont="1" applyBorder="1" applyAlignment="1">
      <alignment vertical="center"/>
      <protection/>
    </xf>
    <xf numFmtId="0" fontId="1" fillId="0" borderId="36" xfId="29" applyFont="1" applyBorder="1" applyAlignment="1">
      <alignment vertical="center"/>
      <protection/>
    </xf>
    <xf numFmtId="169" fontId="1" fillId="0" borderId="37" xfId="29" applyNumberFormat="1" applyFont="1" applyBorder="1" applyAlignment="1">
      <alignment vertical="center"/>
      <protection/>
    </xf>
    <xf numFmtId="169" fontId="1" fillId="0" borderId="23" xfId="29" applyNumberFormat="1" applyFont="1" applyBorder="1" applyAlignment="1">
      <alignment vertical="center"/>
      <protection/>
    </xf>
    <xf numFmtId="188" fontId="1" fillId="0" borderId="36" xfId="29" applyNumberFormat="1" applyFont="1" applyBorder="1" applyAlignment="1">
      <alignment vertical="center"/>
      <protection/>
    </xf>
    <xf numFmtId="0" fontId="14" fillId="0" borderId="35" xfId="29" applyFont="1" applyBorder="1" applyAlignment="1">
      <alignment vertical="center"/>
      <protection/>
    </xf>
    <xf numFmtId="0" fontId="13" fillId="0" borderId="0" xfId="29" applyFont="1" applyBorder="1" applyAlignment="1">
      <alignment vertical="center"/>
      <protection/>
    </xf>
    <xf numFmtId="169" fontId="1" fillId="0" borderId="13" xfId="29" applyNumberFormat="1" applyFont="1" applyBorder="1" applyAlignment="1">
      <alignment vertical="center"/>
      <protection/>
    </xf>
    <xf numFmtId="0" fontId="14" fillId="0" borderId="38" xfId="29" applyFont="1" applyBorder="1" applyAlignment="1">
      <alignment vertical="center"/>
      <protection/>
    </xf>
    <xf numFmtId="0" fontId="13" fillId="0" borderId="14" xfId="29" applyFont="1" applyBorder="1" applyAlignment="1">
      <alignment vertical="center"/>
      <protection/>
    </xf>
    <xf numFmtId="0" fontId="1" fillId="0" borderId="39" xfId="29" applyFont="1" applyBorder="1" applyAlignment="1">
      <alignment vertical="center"/>
      <protection/>
    </xf>
    <xf numFmtId="169" fontId="1" fillId="0" borderId="15" xfId="29" applyNumberFormat="1" applyFont="1" applyBorder="1" applyAlignment="1">
      <alignment vertical="center"/>
      <protection/>
    </xf>
    <xf numFmtId="169" fontId="1" fillId="0" borderId="29" xfId="29" applyNumberFormat="1" applyFont="1" applyFill="1" applyBorder="1" applyAlignment="1">
      <alignment vertical="center"/>
      <protection/>
    </xf>
    <xf numFmtId="188" fontId="1" fillId="0" borderId="40" xfId="29" applyNumberFormat="1" applyFont="1" applyBorder="1" applyAlignment="1">
      <alignment vertical="center"/>
      <protection/>
    </xf>
    <xf numFmtId="0" fontId="4" fillId="0" borderId="35" xfId="29" applyFont="1" applyBorder="1" applyAlignment="1">
      <alignment vertical="center"/>
      <protection/>
    </xf>
    <xf numFmtId="0" fontId="13" fillId="0" borderId="0" xfId="29" applyFont="1" applyBorder="1" applyAlignment="1">
      <alignment vertical="top"/>
      <protection/>
    </xf>
    <xf numFmtId="0" fontId="1" fillId="0" borderId="36" xfId="29" applyFont="1" applyBorder="1" applyAlignment="1">
      <alignment horizontal="left" vertical="center"/>
      <protection/>
    </xf>
    <xf numFmtId="0" fontId="14" fillId="0" borderId="35" xfId="29" applyFont="1" applyBorder="1">
      <alignment/>
      <protection/>
    </xf>
    <xf numFmtId="0" fontId="13" fillId="0" borderId="0" xfId="29" applyFont="1" applyBorder="1" applyAlignment="1">
      <alignment horizontal="left"/>
      <protection/>
    </xf>
    <xf numFmtId="169" fontId="1" fillId="0" borderId="28" xfId="29" applyNumberFormat="1" applyFont="1" applyBorder="1" applyAlignment="1">
      <alignment vertical="center"/>
      <protection/>
    </xf>
    <xf numFmtId="0" fontId="14" fillId="0" borderId="41" xfId="29" applyFont="1" applyBorder="1" applyAlignment="1">
      <alignment vertical="center"/>
      <protection/>
    </xf>
    <xf numFmtId="0" fontId="13" fillId="0" borderId="0" xfId="29" applyFont="1" applyBorder="1" applyAlignment="1">
      <alignment horizontal="left" vertical="center"/>
      <protection/>
    </xf>
    <xf numFmtId="169" fontId="1" fillId="0" borderId="29" xfId="29" applyNumberFormat="1" applyFont="1" applyBorder="1" applyAlignment="1">
      <alignment vertical="center"/>
      <protection/>
    </xf>
    <xf numFmtId="0" fontId="4" fillId="0" borderId="42" xfId="29" applyFont="1" applyBorder="1" applyAlignment="1">
      <alignment vertical="center"/>
      <protection/>
    </xf>
    <xf numFmtId="0" fontId="22" fillId="0" borderId="9" xfId="29" applyFont="1" applyBorder="1" applyAlignment="1">
      <alignment vertical="center"/>
      <protection/>
    </xf>
    <xf numFmtId="0" fontId="14" fillId="0" borderId="43" xfId="29" applyFont="1" applyBorder="1" applyAlignment="1">
      <alignment vertical="center"/>
      <protection/>
    </xf>
    <xf numFmtId="0" fontId="13" fillId="0" borderId="44" xfId="29" applyFont="1" applyBorder="1" applyAlignment="1">
      <alignment vertical="center"/>
      <protection/>
    </xf>
    <xf numFmtId="0" fontId="1" fillId="0" borderId="45" xfId="29" applyFont="1" applyBorder="1" applyAlignment="1">
      <alignment vertical="center"/>
      <protection/>
    </xf>
    <xf numFmtId="169" fontId="1" fillId="0" borderId="46" xfId="29" applyNumberFormat="1" applyFont="1" applyBorder="1" applyAlignment="1">
      <alignment vertical="center"/>
      <protection/>
    </xf>
    <xf numFmtId="169" fontId="1" fillId="0" borderId="47" xfId="29" applyNumberFormat="1" applyFont="1" applyBorder="1" applyAlignment="1">
      <alignment vertical="center"/>
      <protection/>
    </xf>
    <xf numFmtId="188" fontId="1" fillId="0" borderId="48" xfId="29" applyNumberFormat="1" applyFont="1" applyBorder="1" applyAlignment="1">
      <alignment vertical="center"/>
      <protection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Continuous" wrapText="1"/>
    </xf>
    <xf numFmtId="0" fontId="1" fillId="0" borderId="26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22" xfId="0" applyFont="1" applyBorder="1" applyAlignment="1">
      <alignment horizontal="centerContinuous" wrapText="1"/>
    </xf>
    <xf numFmtId="0" fontId="4" fillId="0" borderId="5" xfId="0" applyFont="1" applyBorder="1" applyAlignment="1">
      <alignment horizontal="left" wrapText="1"/>
    </xf>
    <xf numFmtId="0" fontId="1" fillId="0" borderId="27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0" xfId="0" applyFont="1" applyBorder="1" applyAlignment="1">
      <alignment horizontal="centerContinuous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169" fontId="1" fillId="0" borderId="13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88" fontId="1" fillId="0" borderId="6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1" fillId="0" borderId="0" xfId="29" applyFont="1">
      <alignment/>
      <protection/>
    </xf>
    <xf numFmtId="0" fontId="4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/>
    </xf>
    <xf numFmtId="169" fontId="1" fillId="0" borderId="51" xfId="0" applyNumberFormat="1" applyFont="1" applyBorder="1" applyAlignment="1">
      <alignment/>
    </xf>
    <xf numFmtId="169" fontId="1" fillId="0" borderId="52" xfId="0" applyNumberFormat="1" applyFont="1" applyBorder="1" applyAlignment="1">
      <alignment/>
    </xf>
    <xf numFmtId="188" fontId="1" fillId="0" borderId="50" xfId="0" applyNumberFormat="1" applyFont="1" applyBorder="1" applyAlignment="1">
      <alignment/>
    </xf>
    <xf numFmtId="169" fontId="1" fillId="0" borderId="53" xfId="0" applyNumberFormat="1" applyFont="1" applyBorder="1" applyAlignment="1">
      <alignment/>
    </xf>
    <xf numFmtId="188" fontId="1" fillId="0" borderId="54" xfId="0" applyNumberFormat="1" applyFont="1" applyBorder="1" applyAlignment="1">
      <alignment/>
    </xf>
    <xf numFmtId="0" fontId="14" fillId="0" borderId="0" xfId="29" applyFont="1">
      <alignment/>
      <protection/>
    </xf>
    <xf numFmtId="0" fontId="4" fillId="0" borderId="0" xfId="0" applyFont="1" applyAlignment="1">
      <alignment/>
    </xf>
    <xf numFmtId="188" fontId="14" fillId="0" borderId="12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 horizontal="left"/>
    </xf>
    <xf numFmtId="169" fontId="1" fillId="0" borderId="57" xfId="0" applyNumberFormat="1" applyFont="1" applyBorder="1" applyAlignment="1">
      <alignment/>
    </xf>
    <xf numFmtId="169" fontId="1" fillId="0" borderId="58" xfId="0" applyNumberFormat="1" applyFont="1" applyBorder="1" applyAlignment="1">
      <alignment/>
    </xf>
    <xf numFmtId="188" fontId="1" fillId="0" borderId="56" xfId="0" applyNumberFormat="1" applyFont="1" applyBorder="1" applyAlignment="1">
      <alignment/>
    </xf>
    <xf numFmtId="169" fontId="1" fillId="0" borderId="59" xfId="0" applyNumberFormat="1" applyFont="1" applyBorder="1" applyAlignment="1">
      <alignment/>
    </xf>
    <xf numFmtId="188" fontId="1" fillId="0" borderId="60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169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169" fontId="1" fillId="0" borderId="7" xfId="0" applyNumberFormat="1" applyFont="1" applyBorder="1" applyAlignment="1">
      <alignment/>
    </xf>
    <xf numFmtId="169" fontId="1" fillId="0" borderId="29" xfId="0" applyNumberFormat="1" applyFont="1" applyBorder="1" applyAlignment="1">
      <alignment/>
    </xf>
    <xf numFmtId="188" fontId="1" fillId="0" borderId="2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172" fontId="1" fillId="0" borderId="16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89" fontId="1" fillId="0" borderId="23" xfId="0" applyNumberFormat="1" applyFont="1" applyBorder="1" applyAlignment="1">
      <alignment/>
    </xf>
    <xf numFmtId="189" fontId="1" fillId="0" borderId="12" xfId="0" applyNumberFormat="1" applyFont="1" applyBorder="1" applyAlignment="1">
      <alignment/>
    </xf>
    <xf numFmtId="172" fontId="1" fillId="0" borderId="18" xfId="0" applyNumberFormat="1" applyFont="1" applyBorder="1" applyAlignment="1">
      <alignment horizontal="right"/>
    </xf>
    <xf numFmtId="172" fontId="1" fillId="0" borderId="24" xfId="0" applyNumberFormat="1" applyFont="1" applyBorder="1" applyAlignment="1">
      <alignment horizontal="right"/>
    </xf>
    <xf numFmtId="189" fontId="1" fillId="0" borderId="24" xfId="0" applyNumberFormat="1" applyFont="1" applyBorder="1" applyAlignment="1">
      <alignment/>
    </xf>
    <xf numFmtId="172" fontId="1" fillId="0" borderId="9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90" fontId="1" fillId="0" borderId="7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/>
    </xf>
    <xf numFmtId="189" fontId="1" fillId="0" borderId="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0" xfId="0" applyFont="1" applyBorder="1" applyAlignment="1">
      <alignment/>
    </xf>
    <xf numFmtId="172" fontId="1" fillId="0" borderId="19" xfId="0" applyNumberFormat="1" applyFont="1" applyBorder="1" applyAlignment="1">
      <alignment horizontal="right"/>
    </xf>
    <xf numFmtId="172" fontId="1" fillId="0" borderId="21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12" xfId="0" applyNumberFormat="1" applyFont="1" applyBorder="1" applyAlignment="1" quotePrefix="1">
      <alignment horizontal="center"/>
    </xf>
    <xf numFmtId="1" fontId="1" fillId="0" borderId="23" xfId="0" applyNumberFormat="1" applyFont="1" applyBorder="1" applyAlignment="1" quotePrefix="1">
      <alignment horizontal="center"/>
    </xf>
    <xf numFmtId="1" fontId="5" fillId="0" borderId="0" xfId="0" applyNumberFormat="1" applyFont="1" applyAlignment="1">
      <alignment/>
    </xf>
    <xf numFmtId="1" fontId="1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91" fontId="1" fillId="0" borderId="15" xfId="0" applyNumberFormat="1" applyFont="1" applyBorder="1" applyAlignment="1">
      <alignment horizontal="right"/>
    </xf>
    <xf numFmtId="191" fontId="1" fillId="0" borderId="8" xfId="0" applyNumberFormat="1" applyFont="1" applyBorder="1" applyAlignment="1">
      <alignment horizontal="right"/>
    </xf>
    <xf numFmtId="1" fontId="1" fillId="0" borderId="24" xfId="0" applyNumberFormat="1" applyFont="1" applyBorder="1" applyAlignment="1" quotePrefix="1">
      <alignment horizontal="center"/>
    </xf>
    <xf numFmtId="1" fontId="1" fillId="0" borderId="8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3" fillId="0" borderId="5" xfId="0" applyNumberFormat="1" applyFont="1" applyBorder="1" applyAlignment="1">
      <alignment horizontal="right"/>
    </xf>
    <xf numFmtId="184" fontId="13" fillId="0" borderId="27" xfId="0" applyNumberFormat="1" applyFont="1" applyBorder="1" applyAlignment="1">
      <alignment horizontal="right"/>
    </xf>
    <xf numFmtId="184" fontId="13" fillId="0" borderId="0" xfId="0" applyNumberFormat="1" applyFont="1" applyBorder="1" applyAlignment="1">
      <alignment horizontal="right"/>
    </xf>
    <xf numFmtId="184" fontId="13" fillId="0" borderId="28" xfId="0" applyNumberFormat="1" applyFont="1" applyBorder="1" applyAlignment="1">
      <alignment horizontal="right"/>
    </xf>
    <xf numFmtId="184" fontId="13" fillId="0" borderId="6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center"/>
    </xf>
    <xf numFmtId="183" fontId="13" fillId="0" borderId="28" xfId="0" applyNumberFormat="1" applyFont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184" fontId="13" fillId="0" borderId="1" xfId="0" applyNumberFormat="1" applyFont="1" applyBorder="1" applyAlignment="1">
      <alignment horizontal="right"/>
    </xf>
    <xf numFmtId="184" fontId="13" fillId="0" borderId="9" xfId="0" applyNumberFormat="1" applyFont="1" applyBorder="1" applyAlignment="1">
      <alignment horizontal="right"/>
    </xf>
    <xf numFmtId="184" fontId="13" fillId="0" borderId="2" xfId="0" applyNumberFormat="1" applyFont="1" applyBorder="1" applyAlignment="1">
      <alignment horizontal="right"/>
    </xf>
    <xf numFmtId="184" fontId="13" fillId="0" borderId="7" xfId="0" applyNumberFormat="1" applyFont="1" applyBorder="1" applyAlignment="1">
      <alignment horizontal="right"/>
    </xf>
    <xf numFmtId="184" fontId="13" fillId="0" borderId="29" xfId="0" applyNumberFormat="1" applyFont="1" applyBorder="1" applyAlignment="1">
      <alignment horizontal="right"/>
    </xf>
    <xf numFmtId="184" fontId="13" fillId="0" borderId="14" xfId="0" applyNumberFormat="1" applyFont="1" applyBorder="1" applyAlignment="1">
      <alignment horizontal="right"/>
    </xf>
    <xf numFmtId="183" fontId="13" fillId="0" borderId="7" xfId="0" applyNumberFormat="1" applyFont="1" applyBorder="1" applyAlignment="1">
      <alignment horizontal="center"/>
    </xf>
    <xf numFmtId="183" fontId="13" fillId="0" borderId="29" xfId="0" applyNumberFormat="1" applyFont="1" applyBorder="1" applyAlignment="1">
      <alignment horizontal="center"/>
    </xf>
    <xf numFmtId="184" fontId="13" fillId="0" borderId="8" xfId="0" applyNumberFormat="1" applyFont="1" applyBorder="1" applyAlignment="1">
      <alignment horizontal="right"/>
    </xf>
    <xf numFmtId="184" fontId="13" fillId="0" borderId="3" xfId="0" applyNumberFormat="1" applyFont="1" applyBorder="1" applyAlignment="1">
      <alignment horizontal="right"/>
    </xf>
    <xf numFmtId="184" fontId="13" fillId="0" borderId="26" xfId="0" applyNumberFormat="1" applyFont="1" applyBorder="1" applyAlignment="1">
      <alignment horizontal="right"/>
    </xf>
    <xf numFmtId="184" fontId="13" fillId="0" borderId="4" xfId="0" applyNumberFormat="1" applyFont="1" applyBorder="1" applyAlignment="1">
      <alignment horizontal="right"/>
    </xf>
    <xf numFmtId="184" fontId="13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13" fillId="0" borderId="24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0" borderId="0" xfId="30" applyFont="1">
      <alignment/>
      <protection/>
    </xf>
    <xf numFmtId="0" fontId="13" fillId="0" borderId="0" xfId="30" applyFont="1">
      <alignment/>
      <protection/>
    </xf>
    <xf numFmtId="0" fontId="3" fillId="0" borderId="0" xfId="30" applyFont="1" applyAlignment="1">
      <alignment vertical="center"/>
      <protection/>
    </xf>
    <xf numFmtId="0" fontId="1" fillId="0" borderId="17" xfId="30" applyFont="1" applyBorder="1" applyAlignment="1">
      <alignment horizontal="centerContinuous"/>
      <protection/>
    </xf>
    <xf numFmtId="0" fontId="1" fillId="0" borderId="3" xfId="30" applyFont="1" applyBorder="1" applyAlignment="1">
      <alignment horizontal="centerContinuous"/>
      <protection/>
    </xf>
    <xf numFmtId="0" fontId="1" fillId="0" borderId="0" xfId="30" applyFont="1">
      <alignment/>
      <protection/>
    </xf>
    <xf numFmtId="0" fontId="1" fillId="0" borderId="22" xfId="30" applyFont="1" applyBorder="1" applyAlignment="1">
      <alignment horizontal="centerContinuous" vertical="center"/>
      <protection/>
    </xf>
    <xf numFmtId="0" fontId="1" fillId="0" borderId="26" xfId="30" applyFont="1" applyBorder="1" applyAlignment="1">
      <alignment horizontal="centerContinuous" vertical="center"/>
      <protection/>
    </xf>
    <xf numFmtId="0" fontId="1" fillId="0" borderId="26" xfId="30" applyFont="1" applyBorder="1" applyAlignment="1">
      <alignment horizontal="centerContinuous" vertical="center" wrapText="1"/>
      <protection/>
    </xf>
    <xf numFmtId="0" fontId="1" fillId="0" borderId="61" xfId="30" applyFont="1" applyBorder="1" applyAlignment="1">
      <alignment horizontal="centerContinuous" vertical="center" wrapText="1"/>
      <protection/>
    </xf>
    <xf numFmtId="0" fontId="1" fillId="0" borderId="18" xfId="30" applyFont="1" applyBorder="1" applyAlignment="1">
      <alignment horizontal="centerContinuous" vertical="center"/>
      <protection/>
    </xf>
    <xf numFmtId="0" fontId="1" fillId="0" borderId="17" xfId="30" applyFont="1" applyBorder="1" applyAlignment="1">
      <alignment vertical="center"/>
      <protection/>
    </xf>
    <xf numFmtId="183" fontId="1" fillId="0" borderId="30" xfId="30" applyNumberFormat="1" applyFont="1" applyBorder="1" applyAlignment="1">
      <alignment horizontal="center" vertical="center"/>
      <protection/>
    </xf>
    <xf numFmtId="183" fontId="1" fillId="0" borderId="9" xfId="30" applyNumberFormat="1" applyFont="1" applyBorder="1" applyAlignment="1">
      <alignment horizontal="center" vertical="center"/>
      <protection/>
    </xf>
    <xf numFmtId="183" fontId="1" fillId="0" borderId="17" xfId="30" applyNumberFormat="1" applyFont="1" applyBorder="1" applyAlignment="1">
      <alignment horizontal="center" vertical="center"/>
      <protection/>
    </xf>
    <xf numFmtId="0" fontId="1" fillId="0" borderId="16" xfId="30" applyFont="1" applyBorder="1" applyAlignment="1">
      <alignment vertical="center"/>
      <protection/>
    </xf>
    <xf numFmtId="183" fontId="1" fillId="0" borderId="23" xfId="30" applyNumberFormat="1" applyFont="1" applyBorder="1" applyAlignment="1">
      <alignment horizontal="center" vertical="center"/>
      <protection/>
    </xf>
    <xf numFmtId="183" fontId="1" fillId="0" borderId="0" xfId="30" applyNumberFormat="1" applyFont="1" applyBorder="1" applyAlignment="1">
      <alignment horizontal="center" vertical="center"/>
      <protection/>
    </xf>
    <xf numFmtId="183" fontId="1" fillId="0" borderId="16" xfId="30" applyNumberFormat="1" applyFont="1" applyBorder="1" applyAlignment="1">
      <alignment horizontal="center" vertical="center"/>
      <protection/>
    </xf>
    <xf numFmtId="0" fontId="1" fillId="0" borderId="19" xfId="30" applyFont="1" applyBorder="1" applyAlignment="1">
      <alignment vertical="center"/>
      <protection/>
    </xf>
    <xf numFmtId="183" fontId="1" fillId="0" borderId="25" xfId="30" applyNumberFormat="1" applyFont="1" applyBorder="1" applyAlignment="1">
      <alignment horizontal="center" vertical="center"/>
      <protection/>
    </xf>
    <xf numFmtId="168" fontId="1" fillId="0" borderId="20" xfId="30" applyNumberFormat="1" applyFont="1" applyBorder="1" applyAlignment="1">
      <alignment horizontal="center" vertical="center"/>
      <protection/>
    </xf>
    <xf numFmtId="183" fontId="1" fillId="0" borderId="19" xfId="30" applyNumberFormat="1" applyFont="1" applyBorder="1" applyAlignment="1">
      <alignment horizontal="center" vertical="center"/>
      <protection/>
    </xf>
    <xf numFmtId="0" fontId="1" fillId="0" borderId="9" xfId="30" applyFont="1" applyBorder="1" applyAlignment="1">
      <alignment horizontal="centerContinuous"/>
      <protection/>
    </xf>
    <xf numFmtId="0" fontId="1" fillId="0" borderId="2" xfId="30" applyFont="1" applyBorder="1" applyAlignment="1">
      <alignment horizontal="centerContinuous"/>
      <protection/>
    </xf>
    <xf numFmtId="0" fontId="1" fillId="0" borderId="20" xfId="30" applyFont="1" applyBorder="1" applyAlignment="1">
      <alignment horizontal="centerContinuous"/>
      <protection/>
    </xf>
    <xf numFmtId="183" fontId="1" fillId="0" borderId="13" xfId="30" applyNumberFormat="1" applyFont="1" applyBorder="1" applyAlignment="1">
      <alignment horizontal="center" vertical="center"/>
      <protection/>
    </xf>
    <xf numFmtId="183" fontId="1" fillId="0" borderId="28" xfId="30" applyNumberFormat="1" applyFont="1" applyBorder="1" applyAlignment="1">
      <alignment horizontal="center" vertical="center"/>
      <protection/>
    </xf>
    <xf numFmtId="183" fontId="1" fillId="0" borderId="12" xfId="30" applyNumberFormat="1" applyFont="1" applyBorder="1" applyAlignment="1">
      <alignment horizontal="center" vertical="center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" fillId="0" borderId="20" xfId="31" applyFont="1" applyBorder="1" applyAlignment="1">
      <alignment horizontal="centerContinuous" vertical="center"/>
      <protection/>
    </xf>
    <xf numFmtId="0" fontId="1" fillId="0" borderId="4" xfId="31" applyFont="1" applyBorder="1" applyAlignment="1">
      <alignment horizontal="centerContinuous" vertical="center"/>
      <protection/>
    </xf>
    <xf numFmtId="0" fontId="1" fillId="0" borderId="21" xfId="31" applyFont="1" applyBorder="1" applyAlignment="1">
      <alignment horizontal="centerContinuous" vertical="center" wrapText="1"/>
      <protection/>
    </xf>
    <xf numFmtId="0" fontId="1" fillId="0" borderId="21" xfId="31" applyFont="1" applyBorder="1" applyAlignment="1">
      <alignment horizontal="centerContinuous" vertical="center"/>
      <protection/>
    </xf>
    <xf numFmtId="0" fontId="1" fillId="0" borderId="10" xfId="31" applyFont="1" applyBorder="1" applyAlignment="1">
      <alignment horizontal="centerContinuous" vertical="center"/>
      <protection/>
    </xf>
    <xf numFmtId="0" fontId="1" fillId="0" borderId="1" xfId="31" applyFont="1" applyBorder="1" applyAlignment="1">
      <alignment horizontal="center"/>
      <protection/>
    </xf>
    <xf numFmtId="0" fontId="3" fillId="0" borderId="9" xfId="31" applyFont="1" applyBorder="1" applyAlignment="1">
      <alignment horizontal="right"/>
      <protection/>
    </xf>
    <xf numFmtId="0" fontId="3" fillId="0" borderId="2" xfId="31" applyFont="1" applyBorder="1" applyAlignment="1">
      <alignment/>
      <protection/>
    </xf>
    <xf numFmtId="168" fontId="1" fillId="0" borderId="30" xfId="31" applyNumberFormat="1" applyFont="1" applyBorder="1" applyAlignment="1">
      <alignment/>
      <protection/>
    </xf>
    <xf numFmtId="168" fontId="1" fillId="0" borderId="2" xfId="31" applyNumberFormat="1" applyFont="1" applyBorder="1" applyAlignment="1">
      <alignment/>
      <protection/>
    </xf>
    <xf numFmtId="0" fontId="1" fillId="0" borderId="5" xfId="31" applyFont="1" applyBorder="1" applyAlignment="1">
      <alignment horizontal="center"/>
      <protection/>
    </xf>
    <xf numFmtId="0" fontId="3" fillId="0" borderId="0" xfId="31" applyFont="1" applyBorder="1" applyAlignment="1">
      <alignment horizontal="right"/>
      <protection/>
    </xf>
    <xf numFmtId="0" fontId="3" fillId="0" borderId="6" xfId="31" applyFont="1" applyBorder="1" applyAlignment="1">
      <alignment/>
      <protection/>
    </xf>
    <xf numFmtId="168" fontId="1" fillId="0" borderId="23" xfId="31" applyNumberFormat="1" applyFont="1" applyBorder="1" applyAlignment="1">
      <alignment/>
      <protection/>
    </xf>
    <xf numFmtId="168" fontId="1" fillId="0" borderId="6" xfId="31" applyNumberFormat="1" applyFont="1" applyBorder="1" applyAlignment="1">
      <alignment/>
      <protection/>
    </xf>
    <xf numFmtId="0" fontId="3" fillId="0" borderId="6" xfId="31" applyFont="1" applyBorder="1" applyAlignment="1">
      <alignment horizontal="center"/>
      <protection/>
    </xf>
    <xf numFmtId="0" fontId="1" fillId="0" borderId="7" xfId="31" applyFont="1" applyBorder="1" applyAlignment="1">
      <alignment horizontal="center"/>
      <protection/>
    </xf>
    <xf numFmtId="0" fontId="3" fillId="0" borderId="8" xfId="31" applyFont="1" applyBorder="1" applyAlignment="1">
      <alignment horizontal="center"/>
      <protection/>
    </xf>
    <xf numFmtId="0" fontId="3" fillId="0" borderId="19" xfId="31" applyFont="1" applyBorder="1" applyAlignment="1">
      <alignment horizontal="centerContinuous"/>
      <protection/>
    </xf>
    <xf numFmtId="0" fontId="3" fillId="0" borderId="3" xfId="31" applyFont="1" applyBorder="1" applyAlignment="1">
      <alignment horizontal="centerContinuous"/>
      <protection/>
    </xf>
    <xf numFmtId="0" fontId="1" fillId="0" borderId="4" xfId="31" applyFont="1" applyBorder="1" applyAlignment="1">
      <alignment horizontal="centerContinuous"/>
      <protection/>
    </xf>
    <xf numFmtId="168" fontId="1" fillId="0" borderId="25" xfId="31" applyNumberFormat="1" applyFont="1" applyBorder="1" applyAlignment="1">
      <alignment/>
      <protection/>
    </xf>
    <xf numFmtId="168" fontId="1" fillId="0" borderId="26" xfId="31" applyNumberFormat="1" applyFont="1" applyBorder="1" applyAlignment="1">
      <alignment/>
      <protection/>
    </xf>
    <xf numFmtId="168" fontId="1" fillId="0" borderId="4" xfId="31" applyNumberFormat="1" applyFont="1" applyBorder="1" applyAlignment="1">
      <alignment/>
      <protection/>
    </xf>
    <xf numFmtId="168" fontId="1" fillId="0" borderId="28" xfId="31" applyNumberFormat="1" applyFont="1" applyBorder="1" applyAlignment="1">
      <alignment/>
      <protection/>
    </xf>
    <xf numFmtId="0" fontId="1" fillId="0" borderId="3" xfId="31" applyFont="1" applyBorder="1" applyAlignment="1">
      <alignment horizontal="centerContinuous"/>
      <protection/>
    </xf>
    <xf numFmtId="168" fontId="1" fillId="0" borderId="61" xfId="31" applyNumberFormat="1" applyFont="1" applyBorder="1" applyAlignment="1">
      <alignment/>
      <protection/>
    </xf>
    <xf numFmtId="168" fontId="1" fillId="0" borderId="10" xfId="31" applyNumberFormat="1" applyFont="1" applyBorder="1" applyAlignment="1">
      <alignment/>
      <protection/>
    </xf>
    <xf numFmtId="168" fontId="1" fillId="0" borderId="1" xfId="31" applyNumberFormat="1" applyFont="1" applyBorder="1">
      <alignment/>
      <protection/>
    </xf>
    <xf numFmtId="168" fontId="1" fillId="0" borderId="27" xfId="31" applyNumberFormat="1" applyFont="1" applyBorder="1" applyAlignment="1">
      <alignment/>
      <protection/>
    </xf>
    <xf numFmtId="168" fontId="1" fillId="0" borderId="2" xfId="31" applyNumberFormat="1" applyFont="1" applyBorder="1">
      <alignment/>
      <protection/>
    </xf>
    <xf numFmtId="168" fontId="1" fillId="0" borderId="5" xfId="31" applyNumberFormat="1" applyFont="1" applyBorder="1">
      <alignment/>
      <protection/>
    </xf>
    <xf numFmtId="168" fontId="1" fillId="0" borderId="6" xfId="31" applyNumberFormat="1" applyFont="1" applyBorder="1">
      <alignment/>
      <protection/>
    </xf>
    <xf numFmtId="0" fontId="1" fillId="0" borderId="20" xfId="31" applyFont="1" applyBorder="1" applyAlignment="1">
      <alignment horizontal="centerContinuous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>
      <alignment/>
      <protection/>
    </xf>
    <xf numFmtId="0" fontId="14" fillId="0" borderId="0" xfId="32" applyFont="1" applyAlignment="1" quotePrefix="1">
      <alignment horizontal="left"/>
      <protection/>
    </xf>
    <xf numFmtId="0" fontId="1" fillId="0" borderId="0" xfId="32" applyFont="1">
      <alignment/>
      <protection/>
    </xf>
    <xf numFmtId="0" fontId="14" fillId="0" borderId="0" xfId="32" applyFont="1">
      <alignment/>
      <protection/>
    </xf>
    <xf numFmtId="0" fontId="1" fillId="0" borderId="20" xfId="32" applyFont="1" applyBorder="1" applyAlignment="1">
      <alignment horizontal="centerContinuous" vertical="center"/>
      <protection/>
    </xf>
    <xf numFmtId="0" fontId="1" fillId="0" borderId="4" xfId="32" applyFont="1" applyBorder="1" applyAlignment="1">
      <alignment horizontal="centerContinuous" vertical="center"/>
      <protection/>
    </xf>
    <xf numFmtId="0" fontId="1" fillId="0" borderId="21" xfId="32" applyFont="1" applyBorder="1" applyAlignment="1">
      <alignment horizontal="centerContinuous" vertical="center" wrapText="1"/>
      <protection/>
    </xf>
    <xf numFmtId="0" fontId="1" fillId="0" borderId="21" xfId="32" applyFont="1" applyBorder="1" applyAlignment="1">
      <alignment horizontal="centerContinuous" vertical="center"/>
      <protection/>
    </xf>
    <xf numFmtId="0" fontId="1" fillId="0" borderId="10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/>
      <protection/>
    </xf>
    <xf numFmtId="0" fontId="3" fillId="0" borderId="9" xfId="32" applyFont="1" applyBorder="1" applyAlignment="1">
      <alignment horizontal="left" vertical="center" wrapText="1"/>
      <protection/>
    </xf>
    <xf numFmtId="0" fontId="1" fillId="0" borderId="2" xfId="32" applyFont="1" applyBorder="1" applyAlignment="1">
      <alignment horizontal="left"/>
      <protection/>
    </xf>
    <xf numFmtId="183" fontId="1" fillId="0" borderId="23" xfId="32" applyNumberFormat="1" applyFont="1" applyBorder="1" applyAlignment="1">
      <alignment horizontal="right" vertical="center"/>
      <protection/>
    </xf>
    <xf numFmtId="183" fontId="1" fillId="0" borderId="30" xfId="32" applyNumberFormat="1" applyFont="1" applyBorder="1" applyAlignment="1">
      <alignment horizontal="right" vertical="center"/>
      <protection/>
    </xf>
    <xf numFmtId="183" fontId="1" fillId="0" borderId="2" xfId="32" applyNumberFormat="1" applyFont="1" applyBorder="1" applyAlignment="1">
      <alignment horizontal="right" vertical="center"/>
      <protection/>
    </xf>
    <xf numFmtId="183" fontId="1" fillId="0" borderId="11" xfId="32" applyNumberFormat="1" applyFont="1" applyBorder="1" applyAlignment="1">
      <alignment horizontal="right" vertical="center"/>
      <protection/>
    </xf>
    <xf numFmtId="0" fontId="1" fillId="0" borderId="5" xfId="32" applyFont="1" applyBorder="1" applyAlignment="1">
      <alignment horizontal="center" vertical="center"/>
      <protection/>
    </xf>
    <xf numFmtId="0" fontId="3" fillId="0" borderId="0" xfId="32" applyFont="1" applyBorder="1" applyAlignment="1">
      <alignment horizontal="left" vertical="center"/>
      <protection/>
    </xf>
    <xf numFmtId="0" fontId="1" fillId="0" borderId="6" xfId="32" applyFont="1" applyBorder="1" applyAlignment="1">
      <alignment horizontal="left"/>
      <protection/>
    </xf>
    <xf numFmtId="183" fontId="1" fillId="0" borderId="28" xfId="32" applyNumberFormat="1" applyFont="1" applyBorder="1" applyAlignment="1">
      <alignment horizontal="right" vertical="center"/>
      <protection/>
    </xf>
    <xf numFmtId="183" fontId="1" fillId="0" borderId="6" xfId="32" applyNumberFormat="1" applyFont="1" applyBorder="1" applyAlignment="1">
      <alignment horizontal="right" vertical="center"/>
      <protection/>
    </xf>
    <xf numFmtId="183" fontId="1" fillId="0" borderId="12" xfId="32" applyNumberFormat="1" applyFont="1" applyBorder="1" applyAlignment="1">
      <alignment horizontal="right" vertical="center"/>
      <protection/>
    </xf>
    <xf numFmtId="0" fontId="3" fillId="0" borderId="6" xfId="32" applyFont="1" applyBorder="1" applyAlignment="1">
      <alignment horizontal="left" vertical="center"/>
      <protection/>
    </xf>
    <xf numFmtId="0" fontId="3" fillId="0" borderId="3" xfId="32" applyFont="1" applyBorder="1" applyAlignment="1">
      <alignment horizontal="centerContinuous" vertical="center"/>
      <protection/>
    </xf>
    <xf numFmtId="0" fontId="3" fillId="0" borderId="20" xfId="32" applyFont="1" applyBorder="1" applyAlignment="1">
      <alignment horizontal="left" vertical="center"/>
      <protection/>
    </xf>
    <xf numFmtId="0" fontId="1" fillId="0" borderId="4" xfId="32" applyFont="1" applyBorder="1" applyAlignment="1">
      <alignment horizontal="left" vertical="center"/>
      <protection/>
    </xf>
    <xf numFmtId="183" fontId="1" fillId="0" borderId="25" xfId="32" applyNumberFormat="1" applyFont="1" applyBorder="1" applyAlignment="1">
      <alignment horizontal="right" vertical="center"/>
      <protection/>
    </xf>
    <xf numFmtId="183" fontId="1" fillId="0" borderId="4" xfId="32" applyNumberFormat="1" applyFont="1" applyBorder="1" applyAlignment="1">
      <alignment horizontal="right" vertical="center"/>
      <protection/>
    </xf>
    <xf numFmtId="183" fontId="1" fillId="0" borderId="10" xfId="32" applyNumberFormat="1" applyFont="1" applyBorder="1" applyAlignment="1">
      <alignment horizontal="right" vertical="center"/>
      <protection/>
    </xf>
    <xf numFmtId="38" fontId="1" fillId="0" borderId="31" xfId="20" applyNumberFormat="1" applyFont="1" applyBorder="1" applyAlignment="1">
      <alignment horizontal="right" vertical="center"/>
    </xf>
    <xf numFmtId="38" fontId="1" fillId="0" borderId="13" xfId="20" applyNumberFormat="1" applyFont="1" applyBorder="1" applyAlignment="1">
      <alignment horizontal="right" vertical="center"/>
    </xf>
    <xf numFmtId="183" fontId="1" fillId="0" borderId="27" xfId="32" applyNumberFormat="1" applyFont="1" applyBorder="1" applyAlignment="1">
      <alignment horizontal="right" vertical="center"/>
      <protection/>
    </xf>
    <xf numFmtId="183" fontId="1" fillId="0" borderId="13" xfId="32" applyNumberFormat="1" applyFont="1" applyBorder="1" applyAlignment="1">
      <alignment horizontal="right" vertical="center"/>
      <protection/>
    </xf>
    <xf numFmtId="172" fontId="1" fillId="0" borderId="17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right"/>
    </xf>
    <xf numFmtId="184" fontId="1" fillId="0" borderId="27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" fillId="0" borderId="28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184" fontId="1" fillId="0" borderId="29" xfId="0" applyNumberFormat="1" applyFont="1" applyBorder="1" applyAlignment="1">
      <alignment horizontal="right"/>
    </xf>
    <xf numFmtId="184" fontId="1" fillId="0" borderId="14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center"/>
    </xf>
    <xf numFmtId="183" fontId="1" fillId="0" borderId="29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84" fontId="1" fillId="0" borderId="8" xfId="0" applyNumberFormat="1" applyFont="1" applyBorder="1" applyAlignment="1">
      <alignment horizontal="right"/>
    </xf>
    <xf numFmtId="184" fontId="1" fillId="0" borderId="3" xfId="0" applyNumberFormat="1" applyFont="1" applyBorder="1" applyAlignment="1">
      <alignment horizontal="right"/>
    </xf>
    <xf numFmtId="184" fontId="1" fillId="0" borderId="26" xfId="0" applyNumberFormat="1" applyFont="1" applyBorder="1" applyAlignment="1">
      <alignment horizontal="right"/>
    </xf>
    <xf numFmtId="184" fontId="1" fillId="0" borderId="20" xfId="0" applyNumberFormat="1" applyFont="1" applyBorder="1" applyAlignment="1">
      <alignment horizontal="right"/>
    </xf>
    <xf numFmtId="184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29" applyFont="1" applyBorder="1" applyAlignment="1">
      <alignment/>
      <protection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28" xfId="0" applyNumberFormat="1" applyFont="1" applyBorder="1" applyAlignment="1">
      <alignment/>
    </xf>
    <xf numFmtId="167" fontId="1" fillId="0" borderId="6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27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167" fontId="1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1" fillId="0" borderId="24" xfId="0" applyNumberFormat="1" applyFont="1" applyBorder="1" applyAlignment="1">
      <alignment/>
    </xf>
    <xf numFmtId="0" fontId="1" fillId="0" borderId="4" xfId="0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26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167" fontId="1" fillId="0" borderId="2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27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7" fontId="1" fillId="0" borderId="28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0" fontId="13" fillId="0" borderId="0" xfId="29" applyFont="1">
      <alignment/>
      <protection/>
    </xf>
    <xf numFmtId="0" fontId="14" fillId="0" borderId="0" xfId="33" applyFont="1">
      <alignment/>
      <protection/>
    </xf>
    <xf numFmtId="0" fontId="13" fillId="0" borderId="0" xfId="33" applyFont="1">
      <alignment/>
      <protection/>
    </xf>
    <xf numFmtId="0" fontId="13" fillId="0" borderId="0" xfId="33" applyFont="1" applyBorder="1">
      <alignment/>
      <protection/>
    </xf>
    <xf numFmtId="0" fontId="1" fillId="0" borderId="9" xfId="33" applyFont="1" applyBorder="1" applyAlignment="1">
      <alignment horizontal="centerContinuous" vertical="center"/>
      <protection/>
    </xf>
    <xf numFmtId="0" fontId="1" fillId="0" borderId="1" xfId="33" applyFont="1" applyBorder="1" applyAlignment="1">
      <alignment horizontal="centerContinuous" vertical="center"/>
      <protection/>
    </xf>
    <xf numFmtId="0" fontId="1" fillId="0" borderId="9" xfId="33" applyFont="1" applyBorder="1" applyAlignment="1">
      <alignment horizontal="centerContinuous"/>
      <protection/>
    </xf>
    <xf numFmtId="0" fontId="1" fillId="0" borderId="4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20" xfId="33" applyFont="1" applyBorder="1" applyAlignment="1">
      <alignment horizontal="centerContinuous" vertical="center"/>
      <protection/>
    </xf>
    <xf numFmtId="0" fontId="1" fillId="0" borderId="26" xfId="33" applyFont="1" applyBorder="1" applyAlignment="1">
      <alignment horizontal="centerContinuous" vertical="center"/>
      <protection/>
    </xf>
    <xf numFmtId="0" fontId="1" fillId="0" borderId="3" xfId="33" applyFont="1" applyBorder="1" applyAlignment="1">
      <alignment horizontal="centerContinuous" vertical="center"/>
      <protection/>
    </xf>
    <xf numFmtId="0" fontId="1" fillId="0" borderId="4" xfId="33" applyFont="1" applyBorder="1" applyAlignment="1">
      <alignment horizontal="centerContinuous" vertical="center"/>
      <protection/>
    </xf>
    <xf numFmtId="0" fontId="1" fillId="0" borderId="17" xfId="33" applyFont="1" applyBorder="1" applyAlignment="1">
      <alignment vertical="center"/>
      <protection/>
    </xf>
    <xf numFmtId="0" fontId="1" fillId="0" borderId="9" xfId="33" applyFont="1" applyBorder="1" applyAlignment="1">
      <alignment vertical="center"/>
      <protection/>
    </xf>
    <xf numFmtId="0" fontId="1" fillId="0" borderId="6" xfId="33" applyFont="1" applyBorder="1" applyAlignment="1">
      <alignment vertical="center"/>
      <protection/>
    </xf>
    <xf numFmtId="180" fontId="1" fillId="0" borderId="5" xfId="33" applyNumberFormat="1" applyFont="1" applyBorder="1" applyAlignment="1">
      <alignment horizontal="right" vertical="center"/>
      <protection/>
    </xf>
    <xf numFmtId="180" fontId="1" fillId="0" borderId="28" xfId="33" applyNumberFormat="1" applyFont="1" applyBorder="1" applyAlignment="1">
      <alignment horizontal="right" vertical="center"/>
      <protection/>
    </xf>
    <xf numFmtId="180" fontId="1" fillId="0" borderId="27" xfId="33" applyNumberFormat="1" applyFont="1" applyBorder="1" applyAlignment="1">
      <alignment horizontal="right" vertical="center"/>
      <protection/>
    </xf>
    <xf numFmtId="180" fontId="1" fillId="0" borderId="9" xfId="33" applyNumberFormat="1" applyFont="1" applyBorder="1" applyAlignment="1">
      <alignment horizontal="right" vertical="center"/>
      <protection/>
    </xf>
    <xf numFmtId="180" fontId="1" fillId="0" borderId="1" xfId="33" applyNumberFormat="1" applyFont="1" applyBorder="1" applyAlignment="1">
      <alignment horizontal="right" vertical="center"/>
      <protection/>
    </xf>
    <xf numFmtId="180" fontId="1" fillId="0" borderId="2" xfId="33" applyNumberFormat="1" applyFont="1" applyBorder="1" applyAlignment="1">
      <alignment horizontal="right" vertical="center"/>
      <protection/>
    </xf>
    <xf numFmtId="0" fontId="1" fillId="0" borderId="16" xfId="33" applyFont="1" applyBorder="1" applyAlignment="1">
      <alignment vertical="center"/>
      <protection/>
    </xf>
    <xf numFmtId="0" fontId="1" fillId="0" borderId="0" xfId="33" applyFont="1" applyBorder="1" applyAlignment="1">
      <alignment vertical="center"/>
      <protection/>
    </xf>
    <xf numFmtId="180" fontId="1" fillId="0" borderId="0" xfId="33" applyNumberFormat="1" applyFont="1" applyBorder="1" applyAlignment="1">
      <alignment horizontal="right" vertical="center"/>
      <protection/>
    </xf>
    <xf numFmtId="180" fontId="1" fillId="0" borderId="6" xfId="33" applyNumberFormat="1" applyFont="1" applyBorder="1" applyAlignment="1">
      <alignment horizontal="right" vertical="center"/>
      <protection/>
    </xf>
    <xf numFmtId="180" fontId="1" fillId="0" borderId="13" xfId="33" applyNumberFormat="1" applyFont="1" applyBorder="1" applyAlignment="1">
      <alignment horizontal="right" vertical="center"/>
      <protection/>
    </xf>
    <xf numFmtId="0" fontId="1" fillId="0" borderId="8" xfId="33" applyFont="1" applyBorder="1" applyAlignment="1">
      <alignment vertical="center"/>
      <protection/>
    </xf>
    <xf numFmtId="180" fontId="1" fillId="0" borderId="7" xfId="33" applyNumberFormat="1" applyFont="1" applyBorder="1" applyAlignment="1">
      <alignment horizontal="right" vertical="center"/>
      <protection/>
    </xf>
    <xf numFmtId="180" fontId="1" fillId="0" borderId="29" xfId="33" applyNumberFormat="1" applyFont="1" applyBorder="1" applyAlignment="1">
      <alignment horizontal="right" vertical="center"/>
      <protection/>
    </xf>
    <xf numFmtId="180" fontId="1" fillId="0" borderId="14" xfId="33" applyNumberFormat="1" applyFont="1" applyBorder="1" applyAlignment="1">
      <alignment horizontal="right" vertical="center"/>
      <protection/>
    </xf>
    <xf numFmtId="180" fontId="1" fillId="0" borderId="15" xfId="33" applyNumberFormat="1" applyFont="1" applyBorder="1" applyAlignment="1">
      <alignment horizontal="right" vertical="center"/>
      <protection/>
    </xf>
    <xf numFmtId="180" fontId="1" fillId="0" borderId="8" xfId="33" applyNumberFormat="1" applyFont="1" applyBorder="1" applyAlignment="1">
      <alignment horizontal="right" vertical="center"/>
      <protection/>
    </xf>
    <xf numFmtId="0" fontId="1" fillId="0" borderId="1" xfId="33" applyFont="1" applyBorder="1" applyAlignment="1">
      <alignment vertical="center"/>
      <protection/>
    </xf>
    <xf numFmtId="0" fontId="13" fillId="0" borderId="0" xfId="33" applyFont="1" applyAlignment="1">
      <alignment horizontal="center" vertical="center" textRotation="180"/>
      <protection/>
    </xf>
    <xf numFmtId="0" fontId="1" fillId="0" borderId="5" xfId="33" applyFont="1" applyBorder="1" applyAlignment="1">
      <alignment vertical="center"/>
      <protection/>
    </xf>
    <xf numFmtId="0" fontId="1" fillId="0" borderId="3" xfId="33" applyFont="1" applyBorder="1" applyAlignment="1">
      <alignment vertical="center"/>
      <protection/>
    </xf>
    <xf numFmtId="0" fontId="1" fillId="0" borderId="20" xfId="33" applyFont="1" applyBorder="1" applyAlignment="1">
      <alignment vertical="center"/>
      <protection/>
    </xf>
    <xf numFmtId="0" fontId="1" fillId="0" borderId="4" xfId="33" applyFont="1" applyBorder="1" applyAlignment="1">
      <alignment vertical="center"/>
      <protection/>
    </xf>
    <xf numFmtId="180" fontId="1" fillId="0" borderId="3" xfId="33" applyNumberFormat="1" applyFont="1" applyBorder="1" applyAlignment="1">
      <alignment horizontal="right" vertical="center"/>
      <protection/>
    </xf>
    <xf numFmtId="180" fontId="1" fillId="0" borderId="26" xfId="33" applyNumberFormat="1" applyFont="1" applyBorder="1" applyAlignment="1">
      <alignment horizontal="right" vertical="center"/>
      <protection/>
    </xf>
    <xf numFmtId="180" fontId="1" fillId="0" borderId="20" xfId="33" applyNumberFormat="1" applyFont="1" applyBorder="1" applyAlignment="1">
      <alignment horizontal="right" vertical="center"/>
      <protection/>
    </xf>
    <xf numFmtId="180" fontId="1" fillId="0" borderId="4" xfId="33" applyNumberFormat="1" applyFont="1" applyBorder="1" applyAlignment="1">
      <alignment horizontal="right" vertical="center"/>
      <protection/>
    </xf>
    <xf numFmtId="3" fontId="1" fillId="0" borderId="0" xfId="33" applyNumberFormat="1" applyFont="1" applyBorder="1" applyAlignment="1">
      <alignment horizontal="left" vertical="center"/>
      <protection/>
    </xf>
    <xf numFmtId="0" fontId="1" fillId="0" borderId="0" xfId="33" applyFont="1">
      <alignment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Alignment="1">
      <alignment horizontal="left"/>
      <protection/>
    </xf>
    <xf numFmtId="0" fontId="1" fillId="0" borderId="3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180" fontId="1" fillId="0" borderId="27" xfId="33" applyNumberFormat="1" applyFont="1" applyBorder="1" applyAlignment="1">
      <alignment vertical="center"/>
      <protection/>
    </xf>
    <xf numFmtId="180" fontId="1" fillId="0" borderId="9" xfId="33" applyNumberFormat="1" applyFont="1" applyBorder="1" applyAlignment="1">
      <alignment vertical="center"/>
      <protection/>
    </xf>
    <xf numFmtId="180" fontId="1" fillId="0" borderId="1" xfId="33" applyNumberFormat="1" applyFont="1" applyBorder="1" applyAlignment="1">
      <alignment vertical="center"/>
      <protection/>
    </xf>
    <xf numFmtId="180" fontId="1" fillId="0" borderId="2" xfId="33" applyNumberFormat="1" applyFont="1" applyBorder="1" applyAlignment="1">
      <alignment vertical="center"/>
      <protection/>
    </xf>
    <xf numFmtId="180" fontId="1" fillId="0" borderId="28" xfId="33" applyNumberFormat="1" applyFont="1" applyBorder="1" applyAlignment="1">
      <alignment vertical="center"/>
      <protection/>
    </xf>
    <xf numFmtId="180" fontId="1" fillId="0" borderId="0" xfId="33" applyNumberFormat="1" applyFont="1" applyBorder="1" applyAlignment="1">
      <alignment vertical="center"/>
      <protection/>
    </xf>
    <xf numFmtId="180" fontId="1" fillId="0" borderId="5" xfId="33" applyNumberFormat="1" applyFont="1" applyBorder="1" applyAlignment="1">
      <alignment vertical="center"/>
      <protection/>
    </xf>
    <xf numFmtId="180" fontId="1" fillId="0" borderId="6" xfId="33" applyNumberFormat="1" applyFont="1" applyBorder="1" applyAlignment="1">
      <alignment vertical="center"/>
      <protection/>
    </xf>
    <xf numFmtId="180" fontId="1" fillId="0" borderId="14" xfId="33" applyNumberFormat="1" applyFont="1" applyBorder="1" applyAlignment="1">
      <alignment vertical="center"/>
      <protection/>
    </xf>
    <xf numFmtId="180" fontId="1" fillId="0" borderId="29" xfId="33" applyNumberFormat="1" applyFont="1" applyBorder="1" applyAlignment="1">
      <alignment vertical="center"/>
      <protection/>
    </xf>
    <xf numFmtId="180" fontId="1" fillId="0" borderId="26" xfId="33" applyNumberFormat="1" applyFont="1" applyBorder="1" applyAlignment="1">
      <alignment vertical="center"/>
      <protection/>
    </xf>
    <xf numFmtId="180" fontId="1" fillId="0" borderId="20" xfId="33" applyNumberFormat="1" applyFont="1" applyBorder="1" applyAlignment="1">
      <alignment vertical="center"/>
      <protection/>
    </xf>
    <xf numFmtId="180" fontId="1" fillId="0" borderId="3" xfId="33" applyNumberFormat="1" applyFont="1" applyBorder="1" applyAlignment="1">
      <alignment vertical="center"/>
      <protection/>
    </xf>
    <xf numFmtId="180" fontId="1" fillId="0" borderId="4" xfId="33" applyNumberFormat="1" applyFont="1" applyBorder="1" applyAlignment="1">
      <alignment vertical="center"/>
      <protection/>
    </xf>
    <xf numFmtId="0" fontId="16" fillId="0" borderId="0" xfId="33" applyFont="1" applyBorder="1">
      <alignment/>
      <protection/>
    </xf>
    <xf numFmtId="0" fontId="17" fillId="0" borderId="0" xfId="33" applyBorder="1">
      <alignment/>
      <protection/>
    </xf>
    <xf numFmtId="0" fontId="10" fillId="0" borderId="0" xfId="33" applyFont="1" applyBorder="1" applyAlignment="1">
      <alignment horizontal="right"/>
      <protection/>
    </xf>
    <xf numFmtId="0" fontId="10" fillId="0" borderId="0" xfId="33" applyFont="1" applyBorder="1">
      <alignment/>
      <protection/>
    </xf>
    <xf numFmtId="0" fontId="14" fillId="0" borderId="0" xfId="28" applyFont="1">
      <alignment/>
      <protection/>
    </xf>
    <xf numFmtId="0" fontId="14" fillId="0" borderId="0" xfId="28" applyFont="1" applyBorder="1">
      <alignment/>
      <protection/>
    </xf>
    <xf numFmtId="0" fontId="26" fillId="0" borderId="0" xfId="28" applyFont="1">
      <alignment/>
      <protection/>
    </xf>
    <xf numFmtId="0" fontId="0" fillId="0" borderId="0" xfId="28">
      <alignment/>
      <protection/>
    </xf>
    <xf numFmtId="0" fontId="4" fillId="0" borderId="0" xfId="28" applyFont="1">
      <alignment/>
      <protection/>
    </xf>
    <xf numFmtId="166" fontId="14" fillId="0" borderId="0" xfId="28" applyNumberFormat="1" applyFont="1">
      <alignment/>
      <protection/>
    </xf>
    <xf numFmtId="0" fontId="13" fillId="0" borderId="35" xfId="29" applyFont="1" applyBorder="1" applyAlignment="1">
      <alignment/>
      <protection/>
    </xf>
    <xf numFmtId="0" fontId="13" fillId="0" borderId="62" xfId="28" applyFont="1" applyBorder="1" applyAlignment="1">
      <alignment horizontal="centerContinuous" vertical="center" wrapText="1"/>
      <protection/>
    </xf>
    <xf numFmtId="0" fontId="13" fillId="0" borderId="26" xfId="28" applyFont="1" applyBorder="1" applyAlignment="1">
      <alignment horizontal="centerContinuous" vertical="center" wrapText="1"/>
      <protection/>
    </xf>
    <xf numFmtId="0" fontId="13" fillId="0" borderId="63" xfId="28" applyFont="1" applyBorder="1" applyAlignment="1">
      <alignment horizontal="centerContinuous" vertical="center" wrapText="1"/>
      <protection/>
    </xf>
    <xf numFmtId="0" fontId="1" fillId="0" borderId="62" xfId="28" applyFont="1" applyBorder="1" applyAlignment="1">
      <alignment horizontal="centerContinuous" vertical="center" wrapText="1"/>
      <protection/>
    </xf>
    <xf numFmtId="0" fontId="1" fillId="0" borderId="26" xfId="28" applyFont="1" applyBorder="1" applyAlignment="1">
      <alignment horizontal="centerContinuous" vertical="center" wrapText="1"/>
      <protection/>
    </xf>
    <xf numFmtId="0" fontId="1" fillId="0" borderId="63" xfId="28" applyFont="1" applyBorder="1" applyAlignment="1">
      <alignment horizontal="centerContinuous" vertical="center" wrapText="1"/>
      <protection/>
    </xf>
    <xf numFmtId="0" fontId="4" fillId="0" borderId="35" xfId="28" applyFont="1" applyBorder="1" applyAlignment="1">
      <alignment vertical="center"/>
      <protection/>
    </xf>
    <xf numFmtId="0" fontId="22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 vertical="center"/>
      <protection/>
    </xf>
    <xf numFmtId="38" fontId="1" fillId="0" borderId="64" xfId="19" applyNumberFormat="1" applyFont="1" applyBorder="1" applyAlignment="1">
      <alignment vertical="center"/>
    </xf>
    <xf numFmtId="38" fontId="1" fillId="0" borderId="23" xfId="19" applyNumberFormat="1" applyFont="1" applyBorder="1" applyAlignment="1">
      <alignment vertical="center"/>
    </xf>
    <xf numFmtId="188" fontId="1" fillId="0" borderId="65" xfId="28" applyNumberFormat="1" applyFont="1" applyBorder="1" applyAlignment="1">
      <alignment vertical="center"/>
      <protection/>
    </xf>
    <xf numFmtId="188" fontId="1" fillId="0" borderId="0" xfId="28" applyNumberFormat="1" applyFont="1" applyBorder="1" applyAlignment="1">
      <alignment vertical="center"/>
      <protection/>
    </xf>
    <xf numFmtId="0" fontId="4" fillId="0" borderId="35" xfId="28" applyFont="1" applyBorder="1" applyAlignment="1">
      <alignment vertical="center"/>
      <protection/>
    </xf>
    <xf numFmtId="0" fontId="13" fillId="0" borderId="0" xfId="28" applyFont="1" applyBorder="1" applyAlignment="1">
      <alignment vertical="center"/>
      <protection/>
    </xf>
    <xf numFmtId="38" fontId="1" fillId="0" borderId="28" xfId="19" applyNumberFormat="1" applyFont="1" applyBorder="1" applyAlignment="1">
      <alignment vertical="center"/>
    </xf>
    <xf numFmtId="0" fontId="13" fillId="0" borderId="38" xfId="28" applyFont="1" applyBorder="1" applyAlignment="1">
      <alignment vertical="center"/>
      <protection/>
    </xf>
    <xf numFmtId="0" fontId="13" fillId="0" borderId="14" xfId="28" applyFont="1" applyBorder="1" applyAlignment="1">
      <alignment vertical="center"/>
      <protection/>
    </xf>
    <xf numFmtId="0" fontId="1" fillId="0" borderId="14" xfId="28" applyFont="1" applyBorder="1" applyAlignment="1">
      <alignment vertical="center"/>
      <protection/>
    </xf>
    <xf numFmtId="38" fontId="1" fillId="0" borderId="66" xfId="19" applyNumberFormat="1" applyFont="1" applyBorder="1" applyAlignment="1">
      <alignment vertical="center"/>
    </xf>
    <xf numFmtId="38" fontId="1" fillId="0" borderId="29" xfId="19" applyNumberFormat="1" applyFont="1" applyBorder="1" applyAlignment="1">
      <alignment vertical="center"/>
    </xf>
    <xf numFmtId="188" fontId="1" fillId="0" borderId="40" xfId="28" applyNumberFormat="1" applyFont="1" applyBorder="1" applyAlignment="1">
      <alignment vertical="center"/>
      <protection/>
    </xf>
    <xf numFmtId="38" fontId="1" fillId="0" borderId="38" xfId="19" applyNumberFormat="1" applyFont="1" applyBorder="1" applyAlignment="1">
      <alignment vertical="center"/>
    </xf>
    <xf numFmtId="0" fontId="4" fillId="0" borderId="35" xfId="28" applyFont="1" applyBorder="1" applyAlignment="1">
      <alignment horizontal="left" vertical="center" wrapText="1"/>
      <protection/>
    </xf>
    <xf numFmtId="0" fontId="1" fillId="0" borderId="0" xfId="28" applyFont="1" applyBorder="1" applyAlignment="1">
      <alignment horizontal="left" vertical="center" wrapText="1"/>
      <protection/>
    </xf>
    <xf numFmtId="38" fontId="1" fillId="0" borderId="35" xfId="19" applyNumberFormat="1" applyFont="1" applyBorder="1" applyAlignment="1">
      <alignment vertical="center"/>
    </xf>
    <xf numFmtId="38" fontId="1" fillId="0" borderId="37" xfId="19" applyNumberFormat="1" applyFont="1" applyBorder="1" applyAlignment="1">
      <alignment vertical="center"/>
    </xf>
    <xf numFmtId="38" fontId="1" fillId="0" borderId="30" xfId="19" applyNumberFormat="1" applyFont="1" applyBorder="1" applyAlignment="1">
      <alignment vertical="center"/>
    </xf>
    <xf numFmtId="188" fontId="1" fillId="0" borderId="67" xfId="28" applyNumberFormat="1" applyFont="1" applyBorder="1" applyAlignment="1">
      <alignment vertical="center"/>
      <protection/>
    </xf>
    <xf numFmtId="188" fontId="1" fillId="0" borderId="36" xfId="28" applyNumberFormat="1" applyFont="1" applyBorder="1" applyAlignment="1">
      <alignment vertical="center"/>
      <protection/>
    </xf>
    <xf numFmtId="0" fontId="1" fillId="0" borderId="38" xfId="28" applyFont="1" applyBorder="1" applyAlignment="1">
      <alignment vertical="center"/>
      <protection/>
    </xf>
    <xf numFmtId="0" fontId="1" fillId="0" borderId="14" xfId="28" applyFont="1" applyBorder="1" applyAlignment="1">
      <alignment horizontal="left" vertical="center"/>
      <protection/>
    </xf>
    <xf numFmtId="38" fontId="1" fillId="0" borderId="21" xfId="19" applyNumberFormat="1" applyFont="1" applyBorder="1" applyAlignment="1">
      <alignment vertical="center"/>
    </xf>
    <xf numFmtId="188" fontId="1" fillId="0" borderId="39" xfId="28" applyNumberFormat="1" applyFont="1" applyBorder="1" applyAlignment="1">
      <alignment vertical="center"/>
      <protection/>
    </xf>
    <xf numFmtId="0" fontId="1" fillId="0" borderId="35" xfId="28" applyFont="1" applyBorder="1" applyAlignment="1">
      <alignment horizontal="right" vertical="center"/>
      <protection/>
    </xf>
    <xf numFmtId="0" fontId="1" fillId="0" borderId="0" xfId="28" applyFont="1" applyBorder="1" applyAlignment="1">
      <alignment horizontal="left" vertical="center"/>
      <protection/>
    </xf>
    <xf numFmtId="38" fontId="1" fillId="0" borderId="37" xfId="28" applyNumberFormat="1" applyFont="1" applyBorder="1" applyAlignment="1">
      <alignment vertical="center"/>
      <protection/>
    </xf>
    <xf numFmtId="38" fontId="1" fillId="0" borderId="23" xfId="28" applyNumberFormat="1" applyFont="1" applyBorder="1" applyAlignment="1">
      <alignment vertical="center"/>
      <protection/>
    </xf>
    <xf numFmtId="38" fontId="1" fillId="0" borderId="64" xfId="28" applyNumberFormat="1" applyFont="1" applyBorder="1" applyAlignment="1">
      <alignment vertical="center"/>
      <protection/>
    </xf>
    <xf numFmtId="38" fontId="1" fillId="0" borderId="66" xfId="28" applyNumberFormat="1" applyFont="1" applyBorder="1" applyAlignment="1">
      <alignment vertical="center"/>
      <protection/>
    </xf>
    <xf numFmtId="38" fontId="1" fillId="0" borderId="21" xfId="28" applyNumberFormat="1" applyFont="1" applyBorder="1" applyAlignment="1">
      <alignment vertical="center"/>
      <protection/>
    </xf>
    <xf numFmtId="0" fontId="4" fillId="0" borderId="35" xfId="28" applyFont="1" applyBorder="1" applyAlignment="1">
      <alignment horizontal="left" vertical="center"/>
      <protection/>
    </xf>
    <xf numFmtId="0" fontId="13" fillId="0" borderId="0" xfId="28" applyFont="1" applyBorder="1">
      <alignment/>
      <protection/>
    </xf>
    <xf numFmtId="38" fontId="1" fillId="0" borderId="35" xfId="28" applyNumberFormat="1" applyFont="1" applyBorder="1" applyAlignment="1">
      <alignment vertical="center"/>
      <protection/>
    </xf>
    <xf numFmtId="38" fontId="1" fillId="0" borderId="28" xfId="28" applyNumberFormat="1" applyFont="1" applyBorder="1" applyAlignment="1">
      <alignment vertical="center"/>
      <protection/>
    </xf>
    <xf numFmtId="0" fontId="4" fillId="0" borderId="35" xfId="28" applyFont="1" applyBorder="1" applyAlignment="1">
      <alignment horizontal="left" vertical="center"/>
      <protection/>
    </xf>
    <xf numFmtId="0" fontId="1" fillId="0" borderId="0" xfId="28" applyFont="1" applyBorder="1" applyAlignment="1">
      <alignment vertical="center"/>
      <protection/>
    </xf>
    <xf numFmtId="38" fontId="1" fillId="0" borderId="29" xfId="28" applyNumberFormat="1" applyFont="1" applyBorder="1" applyAlignment="1">
      <alignment vertical="center"/>
      <protection/>
    </xf>
    <xf numFmtId="38" fontId="1" fillId="0" borderId="38" xfId="28" applyNumberFormat="1" applyFont="1" applyBorder="1" applyAlignment="1">
      <alignment vertical="center"/>
      <protection/>
    </xf>
    <xf numFmtId="38" fontId="1" fillId="0" borderId="42" xfId="28" applyNumberFormat="1" applyFont="1" applyBorder="1" applyAlignment="1">
      <alignment vertical="center"/>
      <protection/>
    </xf>
    <xf numFmtId="38" fontId="1" fillId="0" borderId="27" xfId="28" applyNumberFormat="1" applyFont="1" applyBorder="1" applyAlignment="1">
      <alignment vertical="center"/>
      <protection/>
    </xf>
    <xf numFmtId="168" fontId="1" fillId="0" borderId="64" xfId="28" applyNumberFormat="1" applyFont="1" applyBorder="1" applyAlignment="1">
      <alignment vertical="center"/>
      <protection/>
    </xf>
    <xf numFmtId="168" fontId="1" fillId="0" borderId="0" xfId="28" applyNumberFormat="1" applyFont="1" applyBorder="1" applyAlignment="1">
      <alignment vertical="center"/>
      <protection/>
    </xf>
    <xf numFmtId="168" fontId="1" fillId="0" borderId="35" xfId="28" applyNumberFormat="1" applyFont="1" applyBorder="1" applyAlignment="1">
      <alignment vertical="center"/>
      <protection/>
    </xf>
    <xf numFmtId="168" fontId="1" fillId="0" borderId="28" xfId="28" applyNumberFormat="1" applyFont="1" applyBorder="1" applyAlignment="1">
      <alignment vertical="center"/>
      <protection/>
    </xf>
    <xf numFmtId="0" fontId="13" fillId="0" borderId="43" xfId="28" applyFont="1" applyBorder="1" applyAlignment="1">
      <alignment vertical="center"/>
      <protection/>
    </xf>
    <xf numFmtId="0" fontId="13" fillId="0" borderId="44" xfId="28" applyFont="1" applyBorder="1" applyAlignment="1">
      <alignment vertical="center"/>
      <protection/>
    </xf>
    <xf numFmtId="0" fontId="1" fillId="0" borderId="44" xfId="28" applyFont="1" applyBorder="1" applyAlignment="1">
      <alignment vertical="center"/>
      <protection/>
    </xf>
    <xf numFmtId="168" fontId="1" fillId="0" borderId="68" xfId="28" applyNumberFormat="1" applyFont="1" applyBorder="1" applyAlignment="1">
      <alignment vertical="center"/>
      <protection/>
    </xf>
    <xf numFmtId="168" fontId="1" fillId="0" borderId="69" xfId="28" applyNumberFormat="1" applyFont="1" applyBorder="1" applyAlignment="1">
      <alignment vertical="center"/>
      <protection/>
    </xf>
    <xf numFmtId="188" fontId="1" fillId="0" borderId="48" xfId="28" applyNumberFormat="1" applyFont="1" applyBorder="1" applyAlignment="1">
      <alignment vertical="center"/>
      <protection/>
    </xf>
    <xf numFmtId="168" fontId="1" fillId="0" borderId="43" xfId="28" applyNumberFormat="1" applyFont="1" applyBorder="1" applyAlignment="1">
      <alignment vertical="center"/>
      <protection/>
    </xf>
    <xf numFmtId="168" fontId="1" fillId="0" borderId="47" xfId="28" applyNumberFormat="1" applyFont="1" applyBorder="1" applyAlignment="1">
      <alignment vertical="center"/>
      <protection/>
    </xf>
    <xf numFmtId="38" fontId="1" fillId="0" borderId="68" xfId="19" applyNumberFormat="1" applyFont="1" applyBorder="1" applyAlignment="1">
      <alignment vertical="center"/>
    </xf>
    <xf numFmtId="38" fontId="1" fillId="0" borderId="69" xfId="19" applyNumberFormat="1" applyFont="1" applyBorder="1" applyAlignment="1">
      <alignment vertical="center"/>
    </xf>
    <xf numFmtId="188" fontId="1" fillId="0" borderId="45" xfId="28" applyNumberFormat="1" applyFont="1" applyBorder="1" applyAlignment="1">
      <alignment vertical="center"/>
      <protection/>
    </xf>
    <xf numFmtId="0" fontId="13" fillId="0" borderId="0" xfId="28" applyFont="1">
      <alignment/>
      <protection/>
    </xf>
    <xf numFmtId="0" fontId="16" fillId="0" borderId="0" xfId="28" applyFont="1">
      <alignment/>
      <protection/>
    </xf>
    <xf numFmtId="0" fontId="13" fillId="0" borderId="0" xfId="28" applyFont="1" applyAlignment="1">
      <alignment/>
      <protection/>
    </xf>
    <xf numFmtId="0" fontId="16" fillId="0" borderId="0" xfId="28" applyFont="1" applyAlignment="1">
      <alignment/>
      <protection/>
    </xf>
    <xf numFmtId="1" fontId="3" fillId="0" borderId="0" xfId="34" applyNumberFormat="1" applyFont="1" applyBorder="1" applyAlignment="1">
      <alignment wrapText="1"/>
      <protection/>
    </xf>
    <xf numFmtId="167" fontId="3" fillId="0" borderId="0" xfId="34" applyNumberFormat="1" applyFont="1" applyBorder="1" applyAlignment="1">
      <alignment horizontal="right"/>
      <protection/>
    </xf>
    <xf numFmtId="167" fontId="3" fillId="0" borderId="70" xfId="34" applyNumberFormat="1" applyFont="1" applyBorder="1" applyAlignment="1">
      <alignment horizontal="right"/>
      <protection/>
    </xf>
    <xf numFmtId="167" fontId="3" fillId="0" borderId="71" xfId="34" applyNumberFormat="1" applyFont="1" applyBorder="1" applyAlignment="1">
      <alignment horizontal="center"/>
      <protection/>
    </xf>
    <xf numFmtId="167" fontId="3" fillId="0" borderId="71" xfId="34" applyNumberFormat="1" applyFont="1" applyBorder="1" applyAlignment="1">
      <alignment horizontal="right"/>
      <protection/>
    </xf>
    <xf numFmtId="188" fontId="3" fillId="0" borderId="71" xfId="34" applyNumberFormat="1" applyFont="1" applyBorder="1" applyAlignment="1">
      <alignment horizontal="right"/>
      <protection/>
    </xf>
    <xf numFmtId="0" fontId="17" fillId="0" borderId="0" xfId="34">
      <alignment/>
      <protection/>
    </xf>
    <xf numFmtId="0" fontId="14" fillId="0" borderId="0" xfId="28" applyFont="1">
      <alignment/>
      <protection/>
    </xf>
    <xf numFmtId="0" fontId="1" fillId="0" borderId="32" xfId="28" applyFont="1" applyBorder="1" applyAlignment="1">
      <alignment horizontal="centerContinuous" vertical="center"/>
      <protection/>
    </xf>
    <xf numFmtId="0" fontId="1" fillId="0" borderId="32" xfId="28" applyFont="1" applyBorder="1" applyAlignment="1">
      <alignment horizontal="centerContinuous"/>
      <protection/>
    </xf>
    <xf numFmtId="0" fontId="1" fillId="0" borderId="33" xfId="28" applyFont="1" applyBorder="1" applyAlignment="1">
      <alignment horizontal="centerContinuous"/>
      <protection/>
    </xf>
    <xf numFmtId="0" fontId="13" fillId="0" borderId="0" xfId="29" applyFont="1" applyBorder="1" applyAlignment="1">
      <alignment/>
      <protection/>
    </xf>
    <xf numFmtId="0" fontId="1" fillId="0" borderId="22" xfId="28" applyFont="1" applyBorder="1" applyAlignment="1">
      <alignment horizontal="centerContinuous" vertical="center" wrapText="1"/>
      <protection/>
    </xf>
    <xf numFmtId="0" fontId="1" fillId="0" borderId="34" xfId="28" applyFont="1" applyBorder="1" applyAlignment="1">
      <alignment horizontal="center" vertical="center" wrapText="1"/>
      <protection/>
    </xf>
    <xf numFmtId="0" fontId="1" fillId="0" borderId="20" xfId="28" applyFont="1" applyBorder="1" applyAlignment="1">
      <alignment horizontal="center" vertical="center" wrapText="1"/>
      <protection/>
    </xf>
    <xf numFmtId="0" fontId="1" fillId="0" borderId="36" xfId="28" applyFont="1" applyBorder="1" applyAlignment="1">
      <alignment vertical="center"/>
      <protection/>
    </xf>
    <xf numFmtId="169" fontId="1" fillId="0" borderId="13" xfId="28" applyNumberFormat="1" applyFont="1" applyBorder="1" applyAlignment="1">
      <alignment vertical="center"/>
      <protection/>
    </xf>
    <xf numFmtId="169" fontId="1" fillId="0" borderId="28" xfId="28" applyNumberFormat="1" applyFont="1" applyBorder="1" applyAlignment="1">
      <alignment vertical="center"/>
      <protection/>
    </xf>
    <xf numFmtId="188" fontId="1" fillId="0" borderId="36" xfId="28" applyNumberFormat="1" applyFont="1" applyBorder="1" applyAlignment="1">
      <alignment vertical="center"/>
      <protection/>
    </xf>
    <xf numFmtId="169" fontId="1" fillId="0" borderId="64" xfId="28" applyNumberFormat="1" applyFont="1" applyBorder="1" applyAlignment="1">
      <alignment vertical="center"/>
      <protection/>
    </xf>
    <xf numFmtId="169" fontId="1" fillId="0" borderId="23" xfId="28" applyNumberFormat="1" applyFont="1" applyBorder="1" applyAlignment="1">
      <alignment vertical="center"/>
      <protection/>
    </xf>
    <xf numFmtId="188" fontId="1" fillId="0" borderId="0" xfId="28" applyNumberFormat="1" applyFont="1" applyBorder="1" applyAlignment="1">
      <alignment vertical="center"/>
      <protection/>
    </xf>
    <xf numFmtId="38" fontId="1" fillId="0" borderId="31" xfId="19" applyNumberFormat="1" applyFont="1" applyBorder="1" applyAlignment="1">
      <alignment vertical="center"/>
    </xf>
    <xf numFmtId="38" fontId="1" fillId="0" borderId="27" xfId="19" applyNumberFormat="1" applyFont="1" applyBorder="1" applyAlignment="1">
      <alignment vertical="center"/>
    </xf>
    <xf numFmtId="188" fontId="1" fillId="0" borderId="67" xfId="28" applyNumberFormat="1" applyFont="1" applyBorder="1" applyAlignment="1">
      <alignment vertical="center"/>
      <protection/>
    </xf>
    <xf numFmtId="38" fontId="1" fillId="0" borderId="13" xfId="19" applyNumberFormat="1" applyFont="1" applyBorder="1" applyAlignment="1">
      <alignment vertical="center"/>
    </xf>
    <xf numFmtId="38" fontId="1" fillId="0" borderId="28" xfId="19" applyNumberFormat="1" applyFont="1" applyBorder="1" applyAlignment="1">
      <alignment vertical="center"/>
    </xf>
    <xf numFmtId="0" fontId="1" fillId="0" borderId="39" xfId="28" applyFont="1" applyBorder="1" applyAlignment="1">
      <alignment vertical="center"/>
      <protection/>
    </xf>
    <xf numFmtId="169" fontId="1" fillId="0" borderId="15" xfId="28" applyNumberFormat="1" applyFont="1" applyBorder="1" applyAlignment="1">
      <alignment vertical="center"/>
      <protection/>
    </xf>
    <xf numFmtId="169" fontId="1" fillId="0" borderId="29" xfId="28" applyNumberFormat="1" applyFont="1" applyBorder="1" applyAlignment="1">
      <alignment vertical="center"/>
      <protection/>
    </xf>
    <xf numFmtId="188" fontId="1" fillId="0" borderId="40" xfId="28" applyNumberFormat="1" applyFont="1" applyBorder="1" applyAlignment="1">
      <alignment vertical="center"/>
      <protection/>
    </xf>
    <xf numFmtId="169" fontId="1" fillId="0" borderId="66" xfId="28" applyNumberFormat="1" applyFont="1" applyBorder="1" applyAlignment="1">
      <alignment vertical="center"/>
      <protection/>
    </xf>
    <xf numFmtId="169" fontId="1" fillId="0" borderId="21" xfId="28" applyNumberFormat="1" applyFont="1" applyBorder="1" applyAlignment="1">
      <alignment vertical="center"/>
      <protection/>
    </xf>
    <xf numFmtId="188" fontId="1" fillId="0" borderId="72" xfId="28" applyNumberFormat="1" applyFont="1" applyBorder="1" applyAlignment="1">
      <alignment vertical="center"/>
      <protection/>
    </xf>
    <xf numFmtId="38" fontId="1" fillId="0" borderId="15" xfId="19" applyNumberFormat="1" applyFont="1" applyBorder="1" applyAlignment="1">
      <alignment vertical="center"/>
    </xf>
    <xf numFmtId="38" fontId="1" fillId="0" borderId="29" xfId="19" applyNumberFormat="1" applyFont="1" applyBorder="1" applyAlignment="1">
      <alignment vertical="center"/>
    </xf>
    <xf numFmtId="188" fontId="1" fillId="0" borderId="14" xfId="28" applyNumberFormat="1" applyFont="1" applyBorder="1" applyAlignment="1">
      <alignment vertical="center"/>
      <protection/>
    </xf>
    <xf numFmtId="188" fontId="1" fillId="0" borderId="39" xfId="28" applyNumberFormat="1" applyFont="1" applyBorder="1" applyAlignment="1">
      <alignment vertical="center"/>
      <protection/>
    </xf>
    <xf numFmtId="0" fontId="13" fillId="0" borderId="35" xfId="28" applyFont="1" applyBorder="1" applyAlignment="1">
      <alignment horizontal="right" vertical="center" wrapText="1"/>
      <protection/>
    </xf>
    <xf numFmtId="0" fontId="13" fillId="0" borderId="35" xfId="28" applyFont="1" applyBorder="1" applyAlignment="1">
      <alignment horizontal="right" vertical="center"/>
      <protection/>
    </xf>
    <xf numFmtId="0" fontId="13" fillId="0" borderId="0" xfId="28" applyFont="1" applyBorder="1" applyAlignment="1">
      <alignment horizontal="left" vertical="top"/>
      <protection/>
    </xf>
    <xf numFmtId="0" fontId="1" fillId="0" borderId="36" xfId="28" applyFont="1" applyBorder="1" applyAlignment="1">
      <alignment horizontal="left" vertical="center"/>
      <protection/>
    </xf>
    <xf numFmtId="0" fontId="3" fillId="0" borderId="35" xfId="28" applyFont="1" applyBorder="1" applyAlignment="1">
      <alignment vertical="center"/>
      <protection/>
    </xf>
    <xf numFmtId="182" fontId="1" fillId="0" borderId="31" xfId="28" applyNumberFormat="1" applyFont="1" applyBorder="1" applyAlignment="1">
      <alignment vertical="center"/>
      <protection/>
    </xf>
    <xf numFmtId="182" fontId="1" fillId="0" borderId="27" xfId="28" applyNumberFormat="1" applyFont="1" applyBorder="1" applyAlignment="1">
      <alignment vertical="center"/>
      <protection/>
    </xf>
    <xf numFmtId="188" fontId="1" fillId="0" borderId="65" xfId="28" applyNumberFormat="1" applyFont="1" applyBorder="1" applyAlignment="1">
      <alignment vertical="center"/>
      <protection/>
    </xf>
    <xf numFmtId="188" fontId="1" fillId="0" borderId="73" xfId="28" applyNumberFormat="1" applyFont="1" applyBorder="1" applyAlignment="1">
      <alignment vertical="center"/>
      <protection/>
    </xf>
    <xf numFmtId="182" fontId="1" fillId="0" borderId="13" xfId="28" applyNumberFormat="1" applyFont="1" applyBorder="1" applyAlignment="1">
      <alignment vertical="center"/>
      <protection/>
    </xf>
    <xf numFmtId="182" fontId="1" fillId="0" borderId="28" xfId="28" applyNumberFormat="1" applyFont="1" applyBorder="1" applyAlignment="1">
      <alignment vertical="center"/>
      <protection/>
    </xf>
    <xf numFmtId="0" fontId="1" fillId="0" borderId="45" xfId="28" applyFont="1" applyBorder="1" applyAlignment="1">
      <alignment vertical="center"/>
      <protection/>
    </xf>
    <xf numFmtId="169" fontId="1" fillId="0" borderId="46" xfId="28" applyNumberFormat="1" applyFont="1" applyBorder="1" applyAlignment="1">
      <alignment vertical="center"/>
      <protection/>
    </xf>
    <xf numFmtId="169" fontId="1" fillId="0" borderId="47" xfId="28" applyNumberFormat="1" applyFont="1" applyBorder="1" applyAlignment="1">
      <alignment vertical="center"/>
      <protection/>
    </xf>
    <xf numFmtId="188" fontId="1" fillId="0" borderId="48" xfId="28" applyNumberFormat="1" applyFont="1" applyBorder="1" applyAlignment="1">
      <alignment vertical="center"/>
      <protection/>
    </xf>
    <xf numFmtId="188" fontId="1" fillId="0" borderId="74" xfId="28" applyNumberFormat="1" applyFont="1" applyBorder="1" applyAlignment="1">
      <alignment vertical="center"/>
      <protection/>
    </xf>
    <xf numFmtId="182" fontId="1" fillId="0" borderId="46" xfId="28" applyNumberFormat="1" applyFont="1" applyBorder="1" applyAlignment="1">
      <alignment vertical="center"/>
      <protection/>
    </xf>
    <xf numFmtId="182" fontId="1" fillId="0" borderId="47" xfId="28" applyNumberFormat="1" applyFont="1" applyBorder="1" applyAlignment="1">
      <alignment vertical="center"/>
      <protection/>
    </xf>
    <xf numFmtId="188" fontId="1" fillId="0" borderId="44" xfId="28" applyNumberFormat="1" applyFont="1" applyBorder="1" applyAlignment="1">
      <alignment vertical="center"/>
      <protection/>
    </xf>
    <xf numFmtId="188" fontId="1" fillId="0" borderId="45" xfId="28" applyNumberFormat="1" applyFont="1" applyBorder="1" applyAlignment="1">
      <alignment vertical="center"/>
      <protection/>
    </xf>
    <xf numFmtId="0" fontId="13" fillId="0" borderId="0" xfId="29" applyFont="1" applyBorder="1">
      <alignment/>
      <protection/>
    </xf>
    <xf numFmtId="0" fontId="1" fillId="0" borderId="0" xfId="37" applyFont="1">
      <alignment/>
      <protection/>
    </xf>
    <xf numFmtId="0" fontId="13" fillId="0" borderId="0" xfId="37" applyFont="1">
      <alignment/>
      <protection/>
    </xf>
    <xf numFmtId="0" fontId="1" fillId="0" borderId="31" xfId="37" applyFont="1" applyBorder="1" applyAlignment="1">
      <alignment horizontal="center"/>
      <protection/>
    </xf>
    <xf numFmtId="0" fontId="1" fillId="0" borderId="30" xfId="37" applyFont="1" applyBorder="1" applyAlignment="1">
      <alignment horizontal="center"/>
      <protection/>
    </xf>
    <xf numFmtId="0" fontId="1" fillId="0" borderId="27" xfId="37" applyFont="1" applyBorder="1" applyAlignment="1">
      <alignment horizontal="center"/>
      <protection/>
    </xf>
    <xf numFmtId="0" fontId="1" fillId="0" borderId="11" xfId="37" applyFont="1" applyBorder="1" applyAlignment="1">
      <alignment horizontal="center"/>
      <protection/>
    </xf>
    <xf numFmtId="0" fontId="13" fillId="0" borderId="15" xfId="37" applyFont="1" applyBorder="1" applyAlignment="1">
      <alignment horizontal="center"/>
      <protection/>
    </xf>
    <xf numFmtId="0" fontId="13" fillId="0" borderId="21" xfId="37" applyFont="1" applyBorder="1" applyAlignment="1">
      <alignment horizontal="center"/>
      <protection/>
    </xf>
    <xf numFmtId="0" fontId="13" fillId="0" borderId="29" xfId="37" applyFont="1" applyBorder="1" applyAlignment="1">
      <alignment horizontal="center"/>
      <protection/>
    </xf>
    <xf numFmtId="0" fontId="13" fillId="0" borderId="24" xfId="37" applyFont="1" applyBorder="1" applyAlignment="1">
      <alignment horizontal="center"/>
      <protection/>
    </xf>
    <xf numFmtId="0" fontId="13" fillId="0" borderId="5" xfId="37" applyFont="1" applyBorder="1" applyAlignment="1">
      <alignment horizontal="left"/>
      <protection/>
    </xf>
    <xf numFmtId="167" fontId="13" fillId="0" borderId="1" xfId="37" applyNumberFormat="1" applyFont="1" applyBorder="1" applyAlignment="1">
      <alignment/>
      <protection/>
    </xf>
    <xf numFmtId="173" fontId="13" fillId="0" borderId="27" xfId="37" applyNumberFormat="1" applyFont="1" applyBorder="1" applyAlignment="1">
      <alignment/>
      <protection/>
    </xf>
    <xf numFmtId="173" fontId="13" fillId="0" borderId="28" xfId="37" applyNumberFormat="1" applyFont="1" applyBorder="1" applyAlignment="1">
      <alignment/>
      <protection/>
    </xf>
    <xf numFmtId="173" fontId="13" fillId="0" borderId="12" xfId="37" applyNumberFormat="1" applyFont="1" applyBorder="1" applyAlignment="1">
      <alignment/>
      <protection/>
    </xf>
    <xf numFmtId="167" fontId="13" fillId="0" borderId="9" xfId="37" applyNumberFormat="1" applyFont="1" applyBorder="1" applyAlignment="1">
      <alignment/>
      <protection/>
    </xf>
    <xf numFmtId="167" fontId="13" fillId="0" borderId="17" xfId="37" applyNumberFormat="1" applyFont="1" applyBorder="1" applyAlignment="1">
      <alignment/>
      <protection/>
    </xf>
    <xf numFmtId="167" fontId="13" fillId="0" borderId="5" xfId="37" applyNumberFormat="1" applyFont="1" applyBorder="1" applyAlignment="1">
      <alignment/>
      <protection/>
    </xf>
    <xf numFmtId="167" fontId="13" fillId="0" borderId="28" xfId="37" applyNumberFormat="1" applyFont="1" applyBorder="1" applyAlignment="1">
      <alignment/>
      <protection/>
    </xf>
    <xf numFmtId="167" fontId="13" fillId="0" borderId="23" xfId="37" applyNumberFormat="1" applyFont="1" applyBorder="1" applyAlignment="1">
      <alignment/>
      <protection/>
    </xf>
    <xf numFmtId="167" fontId="13" fillId="0" borderId="0" xfId="37" applyNumberFormat="1" applyFont="1" applyBorder="1" applyAlignment="1">
      <alignment/>
      <protection/>
    </xf>
    <xf numFmtId="167" fontId="13" fillId="0" borderId="16" xfId="37" applyNumberFormat="1" applyFont="1" applyBorder="1" applyAlignment="1">
      <alignment/>
      <protection/>
    </xf>
    <xf numFmtId="167" fontId="13" fillId="0" borderId="6" xfId="37" applyNumberFormat="1" applyFont="1" applyBorder="1" applyAlignment="1">
      <alignment/>
      <protection/>
    </xf>
    <xf numFmtId="173" fontId="13" fillId="0" borderId="0" xfId="37" applyNumberFormat="1" applyFont="1" applyBorder="1" applyAlignment="1">
      <alignment/>
      <protection/>
    </xf>
    <xf numFmtId="173" fontId="13" fillId="0" borderId="16" xfId="37" applyNumberFormat="1" applyFont="1" applyBorder="1" applyAlignment="1">
      <alignment/>
      <protection/>
    </xf>
    <xf numFmtId="173" fontId="13" fillId="0" borderId="5" xfId="37" applyNumberFormat="1" applyFont="1" applyBorder="1" applyAlignment="1">
      <alignment/>
      <protection/>
    </xf>
    <xf numFmtId="173" fontId="13" fillId="0" borderId="23" xfId="37" applyNumberFormat="1" applyFont="1" applyBorder="1" applyAlignment="1">
      <alignment/>
      <protection/>
    </xf>
    <xf numFmtId="167" fontId="13" fillId="0" borderId="73" xfId="37" applyNumberFormat="1" applyFont="1" applyBorder="1" applyAlignment="1">
      <alignment/>
      <protection/>
    </xf>
    <xf numFmtId="173" fontId="13" fillId="0" borderId="73" xfId="37" applyNumberFormat="1" applyFont="1" applyBorder="1" applyAlignment="1">
      <alignment/>
      <protection/>
    </xf>
    <xf numFmtId="0" fontId="13" fillId="0" borderId="5" xfId="37" applyFont="1" applyBorder="1" applyAlignment="1">
      <alignment/>
      <protection/>
    </xf>
    <xf numFmtId="167" fontId="13" fillId="0" borderId="12" xfId="37" applyNumberFormat="1" applyFont="1" applyBorder="1" applyAlignment="1">
      <alignment/>
      <protection/>
    </xf>
    <xf numFmtId="173" fontId="13" fillId="0" borderId="6" xfId="37" applyNumberFormat="1" applyFont="1" applyBorder="1" applyAlignment="1">
      <alignment/>
      <protection/>
    </xf>
    <xf numFmtId="0" fontId="13" fillId="0" borderId="3" xfId="37" applyFont="1" applyBorder="1" applyAlignment="1">
      <alignment horizontal="left" indent="1"/>
      <protection/>
    </xf>
    <xf numFmtId="167" fontId="13" fillId="0" borderId="3" xfId="37" applyNumberFormat="1" applyFont="1" applyBorder="1" applyAlignment="1">
      <alignment/>
      <protection/>
    </xf>
    <xf numFmtId="167" fontId="13" fillId="0" borderId="26" xfId="37" applyNumberFormat="1" applyFont="1" applyBorder="1" applyAlignment="1">
      <alignment/>
      <protection/>
    </xf>
    <xf numFmtId="167" fontId="13" fillId="0" borderId="10" xfId="37" applyNumberFormat="1" applyFont="1" applyBorder="1" applyAlignment="1">
      <alignment/>
      <protection/>
    </xf>
    <xf numFmtId="167" fontId="13" fillId="0" borderId="20" xfId="37" applyNumberFormat="1" applyFont="1" applyBorder="1" applyAlignment="1">
      <alignment/>
      <protection/>
    </xf>
    <xf numFmtId="167" fontId="13" fillId="0" borderId="19" xfId="37" applyNumberFormat="1" applyFont="1" applyBorder="1" applyAlignment="1">
      <alignment/>
      <protection/>
    </xf>
    <xf numFmtId="0" fontId="13" fillId="0" borderId="0" xfId="37" applyFont="1" applyBorder="1" applyAlignment="1">
      <alignment horizontal="left" indent="1"/>
      <protection/>
    </xf>
    <xf numFmtId="0" fontId="16" fillId="0" borderId="0" xfId="37" applyFont="1" applyBorder="1" applyAlignment="1">
      <alignment/>
      <protection/>
    </xf>
    <xf numFmtId="0" fontId="13" fillId="0" borderId="0" xfId="37" applyFont="1" applyAlignment="1">
      <alignment horizontal="left"/>
      <protection/>
    </xf>
    <xf numFmtId="0" fontId="1" fillId="0" borderId="0" xfId="37" applyFont="1" applyAlignment="1">
      <alignment horizontal="right"/>
      <protection/>
    </xf>
    <xf numFmtId="0" fontId="1" fillId="0" borderId="0" xfId="37" applyFont="1" applyAlignment="1">
      <alignment/>
      <protection/>
    </xf>
    <xf numFmtId="167" fontId="1" fillId="0" borderId="0" xfId="37" applyNumberFormat="1" applyFont="1">
      <alignment/>
      <protection/>
    </xf>
    <xf numFmtId="17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center"/>
    </xf>
    <xf numFmtId="0" fontId="1" fillId="0" borderId="17" xfId="37" applyFont="1" applyBorder="1" applyAlignment="1">
      <alignment horizontal="center"/>
      <protection/>
    </xf>
    <xf numFmtId="168" fontId="13" fillId="0" borderId="16" xfId="37" applyNumberFormat="1" applyFont="1" applyBorder="1" applyAlignment="1">
      <alignment/>
      <protection/>
    </xf>
    <xf numFmtId="168" fontId="13" fillId="0" borderId="19" xfId="37" applyNumberFormat="1" applyFont="1" applyBorder="1" applyAlignment="1">
      <alignment/>
      <protection/>
    </xf>
    <xf numFmtId="168" fontId="13" fillId="0" borderId="17" xfId="37" applyNumberFormat="1" applyFont="1" applyBorder="1" applyAlignment="1">
      <alignment/>
      <protection/>
    </xf>
    <xf numFmtId="0" fontId="1" fillId="0" borderId="16" xfId="0" applyFont="1" applyBorder="1" applyAlignment="1">
      <alignment vertical="center" wrapText="1"/>
    </xf>
    <xf numFmtId="175" fontId="1" fillId="0" borderId="0" xfId="0" applyNumberFormat="1" applyFont="1" applyBorder="1" applyAlignment="1">
      <alignment vertical="center"/>
    </xf>
    <xf numFmtId="1" fontId="1" fillId="0" borderId="24" xfId="0" applyNumberFormat="1" applyFont="1" applyBorder="1" applyAlignment="1">
      <alignment horizontal="center"/>
    </xf>
    <xf numFmtId="183" fontId="1" fillId="0" borderId="15" xfId="35" applyNumberFormat="1" applyFont="1" applyBorder="1" applyAlignment="1">
      <alignment horizontal="center" vertical="center"/>
      <protection/>
    </xf>
    <xf numFmtId="169" fontId="1" fillId="0" borderId="42" xfId="29" applyNumberFormat="1" applyFont="1" applyBorder="1" applyAlignment="1">
      <alignment vertical="center"/>
      <protection/>
    </xf>
    <xf numFmtId="169" fontId="1" fillId="0" borderId="27" xfId="29" applyNumberFormat="1" applyFont="1" applyBorder="1" applyAlignment="1">
      <alignment vertical="center"/>
      <protection/>
    </xf>
    <xf numFmtId="169" fontId="1" fillId="0" borderId="68" xfId="29" applyNumberFormat="1" applyFont="1" applyBorder="1" applyAlignment="1">
      <alignment vertical="center"/>
      <protection/>
    </xf>
    <xf numFmtId="188" fontId="1" fillId="0" borderId="75" xfId="29" applyNumberFormat="1" applyFont="1" applyBorder="1" applyAlignment="1">
      <alignment vertical="center"/>
      <protection/>
    </xf>
    <xf numFmtId="188" fontId="1" fillId="0" borderId="65" xfId="29" applyNumberFormat="1" applyFont="1" applyBorder="1" applyAlignment="1">
      <alignment vertical="center"/>
      <protection/>
    </xf>
    <xf numFmtId="188" fontId="1" fillId="0" borderId="9" xfId="28" applyNumberFormat="1" applyFont="1" applyBorder="1" applyAlignment="1">
      <alignment vertical="center"/>
      <protection/>
    </xf>
    <xf numFmtId="188" fontId="1" fillId="0" borderId="14" xfId="28" applyNumberFormat="1" applyFont="1" applyBorder="1" applyAlignment="1">
      <alignment vertical="center"/>
      <protection/>
    </xf>
    <xf numFmtId="0" fontId="1" fillId="0" borderId="6" xfId="0" applyFont="1" applyBorder="1" applyAlignment="1">
      <alignment horizontal="left" wrapText="1" indent="1"/>
    </xf>
    <xf numFmtId="0" fontId="7" fillId="0" borderId="6" xfId="0" applyFont="1" applyBorder="1" applyAlignment="1">
      <alignment horizontal="left" indent="3"/>
    </xf>
    <xf numFmtId="0" fontId="7" fillId="0" borderId="6" xfId="0" applyFont="1" applyBorder="1" applyAlignment="1">
      <alignment horizontal="left" wrapText="1" indent="3"/>
    </xf>
    <xf numFmtId="0" fontId="4" fillId="0" borderId="0" xfId="0" applyFont="1" applyBorder="1" applyAlignment="1">
      <alignment wrapText="1"/>
    </xf>
    <xf numFmtId="171" fontId="3" fillId="0" borderId="0" xfId="15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8" fontId="1" fillId="0" borderId="6" xfId="35" applyNumberFormat="1" applyFont="1" applyBorder="1" applyAlignment="1">
      <alignment horizontal="center" vertical="center"/>
      <protection/>
    </xf>
    <xf numFmtId="168" fontId="1" fillId="0" borderId="8" xfId="35" applyNumberFormat="1" applyFont="1" applyBorder="1" applyAlignment="1">
      <alignment horizontal="center" vertical="center"/>
      <protection/>
    </xf>
    <xf numFmtId="168" fontId="1" fillId="0" borderId="11" xfId="35" applyNumberFormat="1" applyFont="1" applyBorder="1" applyAlignment="1">
      <alignment horizontal="center" vertical="center"/>
      <protection/>
    </xf>
    <xf numFmtId="168" fontId="1" fillId="0" borderId="4" xfId="35" applyNumberFormat="1" applyFont="1" applyBorder="1" applyAlignment="1">
      <alignment horizontal="center" vertical="center"/>
      <protection/>
    </xf>
    <xf numFmtId="183" fontId="1" fillId="0" borderId="6" xfId="35" applyNumberFormat="1" applyFont="1" applyBorder="1" applyAlignment="1" quotePrefix="1">
      <alignment horizontal="center" vertical="center"/>
      <protection/>
    </xf>
    <xf numFmtId="183" fontId="1" fillId="0" borderId="24" xfId="35" applyNumberFormat="1" applyFont="1" applyBorder="1" applyAlignment="1" quotePrefix="1">
      <alignment horizontal="center" vertical="center"/>
      <protection/>
    </xf>
    <xf numFmtId="183" fontId="1" fillId="0" borderId="12" xfId="35" applyNumberFormat="1" applyFont="1" applyBorder="1" applyAlignment="1" quotePrefix="1">
      <alignment horizontal="center" vertical="center"/>
      <protection/>
    </xf>
    <xf numFmtId="183" fontId="1" fillId="0" borderId="8" xfId="35" applyNumberFormat="1" applyFont="1" applyBorder="1" applyAlignment="1" quotePrefix="1">
      <alignment horizontal="center" vertical="center"/>
      <protection/>
    </xf>
    <xf numFmtId="183" fontId="1" fillId="0" borderId="4" xfId="35" applyNumberFormat="1" applyFont="1" applyBorder="1" applyAlignment="1" quotePrefix="1">
      <alignment horizontal="center" vertical="center"/>
      <protection/>
    </xf>
    <xf numFmtId="183" fontId="1" fillId="0" borderId="19" xfId="38" applyNumberFormat="1" applyFont="1" applyBorder="1" applyAlignment="1">
      <alignment horizontal="right" vertical="center"/>
      <protection/>
    </xf>
    <xf numFmtId="38" fontId="1" fillId="0" borderId="13" xfId="28" applyNumberFormat="1" applyFont="1" applyBorder="1" applyAlignment="1">
      <alignment vertical="center"/>
      <protection/>
    </xf>
    <xf numFmtId="38" fontId="1" fillId="0" borderId="15" xfId="28" applyNumberFormat="1" applyFont="1" applyBorder="1" applyAlignment="1">
      <alignment vertical="center"/>
      <protection/>
    </xf>
    <xf numFmtId="38" fontId="1" fillId="0" borderId="28" xfId="28" applyNumberFormat="1" applyFont="1" applyBorder="1" applyAlignment="1">
      <alignment vertical="center"/>
      <protection/>
    </xf>
    <xf numFmtId="38" fontId="1" fillId="0" borderId="29" xfId="28" applyNumberFormat="1" applyFont="1" applyBorder="1" applyAlignment="1">
      <alignment vertical="center"/>
      <protection/>
    </xf>
    <xf numFmtId="167" fontId="13" fillId="0" borderId="27" xfId="37" applyNumberFormat="1" applyFont="1" applyBorder="1" applyAlignment="1">
      <alignment/>
      <protection/>
    </xf>
    <xf numFmtId="0" fontId="13" fillId="0" borderId="5" xfId="37" applyFont="1" applyFill="1" applyBorder="1" applyAlignment="1">
      <alignment horizontal="left"/>
      <protection/>
    </xf>
    <xf numFmtId="167" fontId="13" fillId="0" borderId="13" xfId="37" applyNumberFormat="1" applyFont="1" applyBorder="1" applyAlignment="1">
      <alignment/>
      <protection/>
    </xf>
    <xf numFmtId="0" fontId="14" fillId="0" borderId="0" xfId="27" applyFont="1" applyAlignment="1" quotePrefix="1">
      <alignment horizontal="left"/>
      <protection/>
    </xf>
    <xf numFmtId="0" fontId="14" fillId="0" borderId="0" xfId="27" applyFont="1">
      <alignment/>
      <protection/>
    </xf>
    <xf numFmtId="198" fontId="14" fillId="0" borderId="0" xfId="18" applyNumberFormat="1" applyFont="1" applyAlignment="1">
      <alignment/>
    </xf>
    <xf numFmtId="0" fontId="4" fillId="0" borderId="0" xfId="27" applyFont="1">
      <alignment/>
      <protection/>
    </xf>
    <xf numFmtId="0" fontId="13" fillId="0" borderId="0" xfId="27" applyFont="1">
      <alignment/>
      <protection/>
    </xf>
    <xf numFmtId="198" fontId="13" fillId="0" borderId="0" xfId="18" applyNumberFormat="1" applyFont="1" applyAlignment="1">
      <alignment/>
    </xf>
    <xf numFmtId="0" fontId="1" fillId="0" borderId="3" xfId="27" applyFont="1" applyBorder="1" applyAlignment="1">
      <alignment horizontal="centerContinuous"/>
      <protection/>
    </xf>
    <xf numFmtId="0" fontId="1" fillId="0" borderId="20" xfId="27" applyFont="1" applyBorder="1" applyAlignment="1">
      <alignment horizontal="centerContinuous"/>
      <protection/>
    </xf>
    <xf numFmtId="198" fontId="1" fillId="0" borderId="4" xfId="18" applyNumberFormat="1" applyFont="1" applyBorder="1" applyAlignment="1">
      <alignment horizontal="centerContinuous"/>
    </xf>
    <xf numFmtId="0" fontId="1" fillId="0" borderId="0" xfId="27" applyFont="1">
      <alignment/>
      <protection/>
    </xf>
    <xf numFmtId="0" fontId="1" fillId="0" borderId="7" xfId="27" applyFont="1" applyBorder="1" applyAlignment="1">
      <alignment horizontal="center"/>
      <protection/>
    </xf>
    <xf numFmtId="0" fontId="1" fillId="0" borderId="26" xfId="27" applyFont="1" applyBorder="1" applyAlignment="1">
      <alignment horizontal="center"/>
      <protection/>
    </xf>
    <xf numFmtId="198" fontId="1" fillId="0" borderId="8" xfId="18" applyNumberFormat="1" applyFont="1" applyBorder="1" applyAlignment="1">
      <alignment horizontal="center"/>
    </xf>
    <xf numFmtId="0" fontId="3" fillId="0" borderId="5" xfId="27" applyFont="1" applyBorder="1" applyAlignment="1">
      <alignment/>
      <protection/>
    </xf>
    <xf numFmtId="0" fontId="1" fillId="0" borderId="20" xfId="27" applyFont="1" applyBorder="1">
      <alignment/>
      <protection/>
    </xf>
    <xf numFmtId="183" fontId="1" fillId="0" borderId="20" xfId="27" applyNumberFormat="1" applyFont="1" applyBorder="1" applyAlignment="1">
      <alignment horizontal="right"/>
      <protection/>
    </xf>
    <xf numFmtId="198" fontId="1" fillId="0" borderId="20" xfId="18" applyNumberFormat="1" applyFont="1" applyBorder="1" applyAlignment="1">
      <alignment horizontal="right"/>
    </xf>
    <xf numFmtId="0" fontId="1" fillId="0" borderId="4" xfId="27" applyFont="1" applyBorder="1">
      <alignment/>
      <protection/>
    </xf>
    <xf numFmtId="0" fontId="1" fillId="0" borderId="0" xfId="27" applyFont="1">
      <alignment/>
      <protection/>
    </xf>
    <xf numFmtId="0" fontId="1" fillId="0" borderId="1" xfId="27" applyFont="1" applyBorder="1" applyAlignment="1">
      <alignment horizontal="centerContinuous"/>
      <protection/>
    </xf>
    <xf numFmtId="0" fontId="1" fillId="0" borderId="2" xfId="27" applyFont="1" applyBorder="1" applyAlignment="1">
      <alignment horizontal="centerContinuous"/>
      <protection/>
    </xf>
    <xf numFmtId="168" fontId="1" fillId="0" borderId="1" xfId="18" applyNumberFormat="1" applyFont="1" applyBorder="1" applyAlignment="1">
      <alignment horizontal="right"/>
    </xf>
    <xf numFmtId="168" fontId="1" fillId="0" borderId="27" xfId="18" applyNumberFormat="1" applyFont="1" applyBorder="1" applyAlignment="1">
      <alignment horizontal="right"/>
    </xf>
    <xf numFmtId="168" fontId="1" fillId="0" borderId="2" xfId="18" applyNumberFormat="1" applyFont="1" applyBorder="1" applyAlignment="1">
      <alignment horizontal="right"/>
    </xf>
    <xf numFmtId="0" fontId="1" fillId="0" borderId="0" xfId="27" applyFont="1" applyAlignment="1">
      <alignment horizontal="centerContinuous"/>
      <protection/>
    </xf>
    <xf numFmtId="0" fontId="1" fillId="0" borderId="5" xfId="27" applyFont="1" applyBorder="1" applyAlignment="1">
      <alignment horizontal="centerContinuous"/>
      <protection/>
    </xf>
    <xf numFmtId="0" fontId="1" fillId="0" borderId="6" xfId="27" applyFont="1" applyBorder="1" applyAlignment="1">
      <alignment horizontal="centerContinuous"/>
      <protection/>
    </xf>
    <xf numFmtId="168" fontId="1" fillId="0" borderId="5" xfId="18" applyNumberFormat="1" applyFont="1" applyBorder="1" applyAlignment="1">
      <alignment horizontal="right"/>
    </xf>
    <xf numFmtId="168" fontId="1" fillId="0" borderId="28" xfId="18" applyNumberFormat="1" applyFont="1" applyBorder="1" applyAlignment="1">
      <alignment horizontal="right"/>
    </xf>
    <xf numFmtId="168" fontId="1" fillId="0" borderId="6" xfId="18" applyNumberFormat="1" applyFont="1" applyBorder="1" applyAlignment="1">
      <alignment horizontal="right"/>
    </xf>
    <xf numFmtId="168" fontId="1" fillId="0" borderId="7" xfId="18" applyNumberFormat="1" applyFont="1" applyBorder="1" applyAlignment="1">
      <alignment horizontal="right"/>
    </xf>
    <xf numFmtId="168" fontId="1" fillId="0" borderId="8" xfId="18" applyNumberFormat="1" applyFont="1" applyBorder="1" applyAlignment="1">
      <alignment horizontal="right"/>
    </xf>
    <xf numFmtId="0" fontId="3" fillId="0" borderId="3" xfId="27" applyFont="1" applyBorder="1" applyAlignment="1">
      <alignment horizontal="centerContinuous"/>
      <protection/>
    </xf>
    <xf numFmtId="0" fontId="1" fillId="0" borderId="4" xfId="27" applyFont="1" applyBorder="1" applyAlignment="1">
      <alignment horizontal="centerContinuous"/>
      <protection/>
    </xf>
    <xf numFmtId="168" fontId="1" fillId="0" borderId="3" xfId="18" applyNumberFormat="1" applyFont="1" applyBorder="1" applyAlignment="1">
      <alignment horizontal="right"/>
    </xf>
    <xf numFmtId="168" fontId="1" fillId="0" borderId="26" xfId="18" applyNumberFormat="1" applyFont="1" applyBorder="1" applyAlignment="1">
      <alignment horizontal="right"/>
    </xf>
    <xf numFmtId="0" fontId="3" fillId="0" borderId="5" xfId="27" applyFont="1" applyBorder="1" applyAlignment="1">
      <alignment horizontal="left"/>
      <protection/>
    </xf>
    <xf numFmtId="0" fontId="1" fillId="0" borderId="9" xfId="27" applyFont="1" applyBorder="1" applyAlignment="1">
      <alignment horizontal="centerContinuous"/>
      <protection/>
    </xf>
    <xf numFmtId="0" fontId="1" fillId="0" borderId="20" xfId="27" applyFont="1" applyBorder="1" applyAlignment="1">
      <alignment horizontal="centerContinuous"/>
      <protection/>
    </xf>
    <xf numFmtId="198" fontId="1" fillId="0" borderId="20" xfId="18" applyNumberFormat="1" applyFont="1" applyBorder="1" applyAlignment="1">
      <alignment/>
    </xf>
    <xf numFmtId="198" fontId="1" fillId="0" borderId="4" xfId="18" applyNumberFormat="1" applyFont="1" applyBorder="1" applyAlignment="1">
      <alignment/>
    </xf>
    <xf numFmtId="0" fontId="1" fillId="0" borderId="0" xfId="27" applyFont="1" applyAlignment="1">
      <alignment horizontal="centerContinuous"/>
      <protection/>
    </xf>
    <xf numFmtId="168" fontId="1" fillId="0" borderId="27" xfId="18" applyNumberFormat="1" applyFont="1" applyBorder="1" applyAlignment="1">
      <alignment horizontal="right"/>
    </xf>
    <xf numFmtId="168" fontId="1" fillId="0" borderId="28" xfId="18" applyNumberFormat="1" applyFont="1" applyBorder="1" applyAlignment="1">
      <alignment horizontal="right"/>
    </xf>
    <xf numFmtId="168" fontId="1" fillId="0" borderId="29" xfId="18" applyNumberFormat="1" applyFont="1" applyBorder="1" applyAlignment="1">
      <alignment horizontal="right"/>
    </xf>
    <xf numFmtId="0" fontId="1" fillId="0" borderId="3" xfId="27" applyFont="1" applyBorder="1" applyAlignment="1">
      <alignment horizontal="centerContinuous"/>
      <protection/>
    </xf>
    <xf numFmtId="0" fontId="3" fillId="0" borderId="7" xfId="27" applyFont="1" applyBorder="1" applyAlignment="1">
      <alignment horizontal="left"/>
      <protection/>
    </xf>
    <xf numFmtId="183" fontId="1" fillId="0" borderId="20" xfId="27" applyNumberFormat="1" applyFont="1" applyBorder="1" applyAlignment="1">
      <alignment horizontal="centerContinuous"/>
      <protection/>
    </xf>
    <xf numFmtId="0" fontId="20" fillId="0" borderId="20" xfId="27" applyFont="1" applyBorder="1">
      <alignment/>
      <protection/>
    </xf>
    <xf numFmtId="38" fontId="1" fillId="0" borderId="20" xfId="18" applyNumberFormat="1" applyFont="1" applyBorder="1" applyAlignment="1">
      <alignment/>
    </xf>
    <xf numFmtId="38" fontId="1" fillId="0" borderId="4" xfId="18" applyNumberFormat="1" applyFont="1" applyBorder="1" applyAlignment="1">
      <alignment/>
    </xf>
    <xf numFmtId="168" fontId="1" fillId="0" borderId="76" xfId="18" applyNumberFormat="1" applyFont="1" applyBorder="1" applyAlignment="1">
      <alignment horizontal="right"/>
    </xf>
    <xf numFmtId="0" fontId="1" fillId="0" borderId="0" xfId="27" applyFont="1" applyBorder="1" applyAlignment="1">
      <alignment horizontal="centerContinuous"/>
      <protection/>
    </xf>
    <xf numFmtId="168" fontId="1" fillId="0" borderId="77" xfId="18" applyNumberFormat="1" applyFont="1" applyBorder="1" applyAlignment="1">
      <alignment horizontal="right"/>
    </xf>
    <xf numFmtId="168" fontId="1" fillId="0" borderId="78" xfId="18" applyNumberFormat="1" applyFont="1" applyBorder="1" applyAlignment="1">
      <alignment horizontal="right"/>
    </xf>
    <xf numFmtId="168" fontId="1" fillId="0" borderId="79" xfId="18" applyNumberFormat="1" applyFont="1" applyBorder="1" applyAlignment="1">
      <alignment horizontal="right"/>
    </xf>
    <xf numFmtId="168" fontId="1" fillId="0" borderId="26" xfId="18" applyNumberFormat="1" applyFont="1" applyBorder="1" applyAlignment="1">
      <alignment horizontal="right"/>
    </xf>
    <xf numFmtId="168" fontId="1" fillId="0" borderId="4" xfId="18" applyNumberFormat="1" applyFont="1" applyBorder="1" applyAlignment="1">
      <alignment horizontal="right"/>
    </xf>
    <xf numFmtId="168" fontId="16" fillId="0" borderId="0" xfId="27" applyNumberFormat="1" applyFont="1" applyAlignment="1">
      <alignment horizontal="center"/>
      <protection/>
    </xf>
    <xf numFmtId="0" fontId="14" fillId="0" borderId="0" xfId="26" applyFont="1" applyAlignment="1" quotePrefix="1">
      <alignment horizontal="left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" fillId="0" borderId="3" xfId="26" applyFont="1" applyBorder="1" applyAlignment="1">
      <alignment horizontal="centerContinuous"/>
      <protection/>
    </xf>
    <xf numFmtId="0" fontId="1" fillId="0" borderId="20" xfId="26" applyFont="1" applyBorder="1" applyAlignment="1">
      <alignment horizontal="centerContinuous"/>
      <protection/>
    </xf>
    <xf numFmtId="198" fontId="1" fillId="0" borderId="4" xfId="17" applyNumberFormat="1" applyFont="1" applyBorder="1" applyAlignment="1">
      <alignment horizontal="centerContinuous"/>
    </xf>
    <xf numFmtId="0" fontId="1" fillId="0" borderId="0" xfId="26" applyFont="1">
      <alignment/>
      <protection/>
    </xf>
    <xf numFmtId="0" fontId="1" fillId="0" borderId="7" xfId="26" applyFont="1" applyBorder="1" applyAlignment="1">
      <alignment horizontal="centerContinuous"/>
      <protection/>
    </xf>
    <xf numFmtId="0" fontId="1" fillId="0" borderId="26" xfId="26" applyFont="1" applyBorder="1" applyAlignment="1">
      <alignment horizontal="centerContinuous"/>
      <protection/>
    </xf>
    <xf numFmtId="198" fontId="1" fillId="0" borderId="8" xfId="17" applyNumberFormat="1" applyFont="1" applyBorder="1" applyAlignment="1">
      <alignment horizontal="centerContinuous"/>
    </xf>
    <xf numFmtId="0" fontId="3" fillId="0" borderId="16" xfId="26" applyFont="1" applyBorder="1" applyAlignment="1">
      <alignment/>
      <protection/>
    </xf>
    <xf numFmtId="0" fontId="1" fillId="0" borderId="5" xfId="26" applyFont="1" applyBorder="1">
      <alignment/>
      <protection/>
    </xf>
    <xf numFmtId="0" fontId="1" fillId="0" borderId="20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Font="1">
      <alignment/>
      <protection/>
    </xf>
    <xf numFmtId="0" fontId="1" fillId="0" borderId="6" xfId="26" applyFont="1" applyBorder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Continuous"/>
      <protection/>
    </xf>
    <xf numFmtId="169" fontId="1" fillId="0" borderId="1" xfId="26" applyNumberFormat="1" applyFont="1" applyBorder="1" applyAlignment="1">
      <alignment/>
      <protection/>
    </xf>
    <xf numFmtId="169" fontId="1" fillId="0" borderId="27" xfId="26" applyNumberFormat="1" applyFont="1" applyBorder="1" applyAlignment="1">
      <alignment/>
      <protection/>
    </xf>
    <xf numFmtId="169" fontId="1" fillId="0" borderId="2" xfId="17" applyNumberFormat="1" applyFont="1" applyBorder="1" applyAlignment="1">
      <alignment/>
    </xf>
    <xf numFmtId="0" fontId="1" fillId="0" borderId="5" xfId="26" applyFont="1" applyBorder="1" applyAlignment="1">
      <alignment horizontal="center" vertical="center"/>
      <protection/>
    </xf>
    <xf numFmtId="0" fontId="1" fillId="0" borderId="6" xfId="26" applyFont="1" applyBorder="1" applyAlignment="1">
      <alignment horizontal="centerContinuous"/>
      <protection/>
    </xf>
    <xf numFmtId="169" fontId="1" fillId="0" borderId="5" xfId="26" applyNumberFormat="1" applyFont="1" applyBorder="1" applyAlignment="1">
      <alignment/>
      <protection/>
    </xf>
    <xf numFmtId="169" fontId="1" fillId="0" borderId="28" xfId="26" applyNumberFormat="1" applyFont="1" applyBorder="1" applyAlignment="1">
      <alignment/>
      <protection/>
    </xf>
    <xf numFmtId="169" fontId="1" fillId="0" borderId="6" xfId="17" applyNumberFormat="1" applyFont="1" applyBorder="1" applyAlignment="1">
      <alignment/>
    </xf>
    <xf numFmtId="0" fontId="1" fillId="0" borderId="8" xfId="26" applyFont="1" applyBorder="1" applyAlignment="1">
      <alignment horizontal="centerContinuous"/>
      <protection/>
    </xf>
    <xf numFmtId="169" fontId="1" fillId="0" borderId="7" xfId="26" applyNumberFormat="1" applyFont="1" applyBorder="1" applyAlignment="1">
      <alignment/>
      <protection/>
    </xf>
    <xf numFmtId="169" fontId="1" fillId="0" borderId="29" xfId="26" applyNumberFormat="1" applyFont="1" applyBorder="1" applyAlignment="1">
      <alignment/>
      <protection/>
    </xf>
    <xf numFmtId="169" fontId="1" fillId="0" borderId="8" xfId="17" applyNumberFormat="1" applyFont="1" applyBorder="1" applyAlignment="1">
      <alignment/>
    </xf>
    <xf numFmtId="169" fontId="1" fillId="0" borderId="8" xfId="26" applyNumberFormat="1" applyFont="1" applyBorder="1" applyAlignment="1">
      <alignment/>
      <protection/>
    </xf>
    <xf numFmtId="0" fontId="1" fillId="0" borderId="1" xfId="26" applyFont="1" applyBorder="1" applyAlignment="1">
      <alignment horizontal="centerContinuous"/>
      <protection/>
    </xf>
    <xf numFmtId="169" fontId="1" fillId="0" borderId="20" xfId="26" applyNumberFormat="1" applyFont="1" applyBorder="1" applyAlignment="1">
      <alignment/>
      <protection/>
    </xf>
    <xf numFmtId="169" fontId="1" fillId="0" borderId="9" xfId="26" applyNumberFormat="1" applyFont="1" applyBorder="1" applyAlignment="1">
      <alignment/>
      <protection/>
    </xf>
    <xf numFmtId="169" fontId="1" fillId="0" borderId="20" xfId="26" applyNumberFormat="1" applyFont="1" applyBorder="1" applyAlignment="1">
      <alignment/>
      <protection/>
    </xf>
    <xf numFmtId="169" fontId="1" fillId="0" borderId="20" xfId="17" applyNumberFormat="1" applyFont="1" applyBorder="1" applyAlignment="1">
      <alignment/>
    </xf>
    <xf numFmtId="169" fontId="1" fillId="0" borderId="4" xfId="17" applyNumberFormat="1" applyFont="1" applyBorder="1" applyAlignment="1">
      <alignment/>
    </xf>
    <xf numFmtId="169" fontId="1" fillId="0" borderId="2" xfId="26" applyNumberFormat="1" applyFont="1" applyBorder="1" applyAlignment="1">
      <alignment/>
      <protection/>
    </xf>
    <xf numFmtId="169" fontId="1" fillId="0" borderId="4" xfId="26" applyNumberFormat="1" applyFont="1" applyBorder="1" applyAlignment="1">
      <alignment/>
      <protection/>
    </xf>
    <xf numFmtId="0" fontId="3" fillId="0" borderId="18" xfId="26" applyFont="1" applyBorder="1" applyAlignment="1">
      <alignment/>
      <protection/>
    </xf>
    <xf numFmtId="169" fontId="20" fillId="0" borderId="20" xfId="26" applyNumberFormat="1" applyFont="1" applyBorder="1" applyAlignment="1">
      <alignment/>
      <protection/>
    </xf>
    <xf numFmtId="169" fontId="1" fillId="0" borderId="9" xfId="17" applyNumberFormat="1" applyFont="1" applyBorder="1" applyAlignment="1">
      <alignment/>
    </xf>
    <xf numFmtId="169" fontId="1" fillId="0" borderId="27" xfId="17" applyNumberFormat="1" applyFont="1" applyBorder="1" applyAlignment="1">
      <alignment/>
    </xf>
    <xf numFmtId="169" fontId="1" fillId="0" borderId="0" xfId="17" applyNumberFormat="1" applyFont="1" applyBorder="1" applyAlignment="1">
      <alignment/>
    </xf>
    <xf numFmtId="169" fontId="1" fillId="0" borderId="28" xfId="17" applyNumberFormat="1" applyFont="1" applyBorder="1" applyAlignment="1">
      <alignment/>
    </xf>
    <xf numFmtId="169" fontId="1" fillId="0" borderId="14" xfId="17" applyNumberFormat="1" applyFont="1" applyBorder="1" applyAlignment="1">
      <alignment/>
    </xf>
    <xf numFmtId="169" fontId="1" fillId="0" borderId="29" xfId="17" applyNumberFormat="1" applyFont="1" applyBorder="1" applyAlignment="1">
      <alignment/>
    </xf>
    <xf numFmtId="0" fontId="16" fillId="0" borderId="0" xfId="26" applyFont="1">
      <alignment/>
      <protection/>
    </xf>
    <xf numFmtId="168" fontId="16" fillId="0" borderId="0" xfId="26" applyNumberFormat="1" applyFont="1" applyAlignment="1">
      <alignment horizontal="center"/>
      <protection/>
    </xf>
    <xf numFmtId="0" fontId="13" fillId="0" borderId="0" xfId="26" applyFont="1">
      <alignment/>
      <protection/>
    </xf>
    <xf numFmtId="169" fontId="1" fillId="0" borderId="0" xfId="26" applyNumberFormat="1" applyFont="1" applyBorder="1" applyAlignment="1">
      <alignment/>
      <protection/>
    </xf>
    <xf numFmtId="0" fontId="1" fillId="0" borderId="0" xfId="26" applyFont="1" applyBorder="1">
      <alignment/>
      <protection/>
    </xf>
    <xf numFmtId="168" fontId="1" fillId="0" borderId="31" xfId="18" applyNumberFormat="1" applyFont="1" applyBorder="1" applyAlignment="1">
      <alignment horizontal="right"/>
    </xf>
    <xf numFmtId="168" fontId="1" fillId="0" borderId="13" xfId="18" applyNumberFormat="1" applyFont="1" applyBorder="1" applyAlignment="1">
      <alignment horizontal="right"/>
    </xf>
    <xf numFmtId="168" fontId="1" fillId="0" borderId="15" xfId="18" applyNumberFormat="1" applyFont="1" applyBorder="1" applyAlignment="1">
      <alignment horizontal="right"/>
    </xf>
    <xf numFmtId="168" fontId="1" fillId="0" borderId="22" xfId="18" applyNumberFormat="1" applyFont="1" applyBorder="1" applyAlignment="1">
      <alignment horizontal="right"/>
    </xf>
    <xf numFmtId="186" fontId="1" fillId="0" borderId="0" xfId="0" applyNumberFormat="1" applyFont="1" applyBorder="1" applyAlignment="1" quotePrefix="1">
      <alignment horizontal="center" vertical="center"/>
    </xf>
    <xf numFmtId="169" fontId="1" fillId="0" borderId="18" xfId="0" applyNumberFormat="1" applyFont="1" applyBorder="1" applyAlignment="1">
      <alignment vertical="center"/>
    </xf>
    <xf numFmtId="169" fontId="1" fillId="0" borderId="8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vertical="center"/>
    </xf>
    <xf numFmtId="169" fontId="1" fillId="0" borderId="73" xfId="0" applyNumberFormat="1" applyFont="1" applyBorder="1" applyAlignment="1" quotePrefix="1">
      <alignment vertical="center"/>
    </xf>
    <xf numFmtId="169" fontId="1" fillId="0" borderId="73" xfId="0" applyNumberFormat="1" applyFont="1" applyBorder="1" applyAlignment="1">
      <alignment horizontal="right" vertical="center"/>
    </xf>
    <xf numFmtId="169" fontId="1" fillId="0" borderId="16" xfId="0" applyNumberFormat="1" applyFont="1" applyBorder="1" applyAlignment="1">
      <alignment vertical="center"/>
    </xf>
    <xf numFmtId="169" fontId="1" fillId="0" borderId="2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Fill="1" applyAlignment="1" quotePrefix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 wrapText="1"/>
    </xf>
    <xf numFmtId="194" fontId="13" fillId="0" borderId="17" xfId="37" applyNumberFormat="1" applyFont="1" applyBorder="1" applyAlignment="1">
      <alignment horizontal="right"/>
      <protection/>
    </xf>
    <xf numFmtId="167" fontId="13" fillId="0" borderId="31" xfId="37" applyNumberFormat="1" applyFont="1" applyBorder="1" applyAlignment="1">
      <alignment horizontal="right"/>
      <protection/>
    </xf>
    <xf numFmtId="1" fontId="13" fillId="0" borderId="27" xfId="37" applyNumberFormat="1" applyFont="1" applyBorder="1" applyAlignment="1">
      <alignment horizontal="center"/>
      <protection/>
    </xf>
    <xf numFmtId="173" fontId="13" fillId="0" borderId="27" xfId="37" applyNumberFormat="1" applyFont="1" applyBorder="1" applyAlignment="1">
      <alignment horizontal="center"/>
      <protection/>
    </xf>
    <xf numFmtId="173" fontId="13" fillId="0" borderId="11" xfId="37" applyNumberFormat="1" applyFont="1" applyBorder="1" applyAlignment="1">
      <alignment horizontal="center"/>
      <protection/>
    </xf>
    <xf numFmtId="174" fontId="13" fillId="0" borderId="17" xfId="37" applyNumberFormat="1" applyFont="1" applyBorder="1" applyAlignment="1">
      <alignment horizontal="right"/>
      <protection/>
    </xf>
    <xf numFmtId="167" fontId="13" fillId="0" borderId="17" xfId="37" applyNumberFormat="1" applyFont="1" applyBorder="1" applyAlignment="1">
      <alignment horizontal="center"/>
      <protection/>
    </xf>
    <xf numFmtId="167" fontId="13" fillId="0" borderId="0" xfId="37" applyNumberFormat="1" applyFont="1">
      <alignment/>
      <protection/>
    </xf>
    <xf numFmtId="194" fontId="13" fillId="0" borderId="16" xfId="37" applyNumberFormat="1" applyFont="1" applyBorder="1" applyAlignment="1">
      <alignment horizontal="right"/>
      <protection/>
    </xf>
    <xf numFmtId="167" fontId="13" fillId="0" borderId="13" xfId="37" applyNumberFormat="1" applyFont="1" applyBorder="1" applyAlignment="1">
      <alignment horizontal="right"/>
      <protection/>
    </xf>
    <xf numFmtId="167" fontId="13" fillId="0" borderId="28" xfId="37" applyNumberFormat="1" applyFont="1" applyBorder="1" applyAlignment="1">
      <alignment horizontal="center"/>
      <protection/>
    </xf>
    <xf numFmtId="173" fontId="13" fillId="0" borderId="28" xfId="37" applyNumberFormat="1" applyFont="1" applyBorder="1" applyAlignment="1">
      <alignment horizontal="center"/>
      <protection/>
    </xf>
    <xf numFmtId="167" fontId="13" fillId="0" borderId="23" xfId="37" applyNumberFormat="1" applyFont="1" applyBorder="1" applyAlignment="1">
      <alignment horizontal="center"/>
      <protection/>
    </xf>
    <xf numFmtId="173" fontId="13" fillId="0" borderId="12" xfId="37" applyNumberFormat="1" applyFont="1" applyBorder="1" applyAlignment="1">
      <alignment horizontal="center"/>
      <protection/>
    </xf>
    <xf numFmtId="174" fontId="13" fillId="0" borderId="16" xfId="37" applyNumberFormat="1" applyFont="1" applyBorder="1" applyAlignment="1">
      <alignment horizontal="right"/>
      <protection/>
    </xf>
    <xf numFmtId="167" fontId="13" fillId="0" borderId="16" xfId="37" applyNumberFormat="1" applyFont="1" applyBorder="1" applyAlignment="1">
      <alignment horizontal="center"/>
      <protection/>
    </xf>
    <xf numFmtId="174" fontId="13" fillId="0" borderId="16" xfId="37" applyNumberFormat="1" applyFont="1" applyBorder="1" applyAlignment="1">
      <alignment horizontal="center"/>
      <protection/>
    </xf>
    <xf numFmtId="173" fontId="13" fillId="0" borderId="13" xfId="37" applyNumberFormat="1" applyFont="1" applyBorder="1" applyAlignment="1">
      <alignment horizontal="center"/>
      <protection/>
    </xf>
    <xf numFmtId="179" fontId="13" fillId="0" borderId="16" xfId="37" applyNumberFormat="1" applyFont="1" applyBorder="1" applyAlignment="1">
      <alignment horizontal="right"/>
      <protection/>
    </xf>
    <xf numFmtId="167" fontId="13" fillId="0" borderId="5" xfId="37" applyNumberFormat="1" applyFont="1" applyBorder="1" applyAlignment="1">
      <alignment horizontal="right"/>
      <protection/>
    </xf>
    <xf numFmtId="1" fontId="13" fillId="0" borderId="28" xfId="37" applyNumberFormat="1" applyFont="1" applyBorder="1" applyAlignment="1">
      <alignment horizontal="center"/>
      <protection/>
    </xf>
    <xf numFmtId="167" fontId="13" fillId="0" borderId="73" xfId="37" applyNumberFormat="1" applyFont="1" applyBorder="1" applyAlignment="1">
      <alignment horizontal="center"/>
      <protection/>
    </xf>
    <xf numFmtId="167" fontId="13" fillId="0" borderId="12" xfId="37" applyNumberFormat="1" applyFont="1" applyBorder="1" applyAlignment="1">
      <alignment horizontal="center"/>
      <protection/>
    </xf>
    <xf numFmtId="192" fontId="13" fillId="0" borderId="16" xfId="37" applyNumberFormat="1" applyFont="1" applyBorder="1" applyAlignment="1">
      <alignment horizontal="center"/>
      <protection/>
    </xf>
    <xf numFmtId="194" fontId="13" fillId="0" borderId="19" xfId="37" applyNumberFormat="1" applyFont="1" applyBorder="1" applyAlignment="1">
      <alignment horizontal="right"/>
      <protection/>
    </xf>
    <xf numFmtId="167" fontId="13" fillId="0" borderId="3" xfId="37" applyNumberFormat="1" applyFont="1" applyBorder="1" applyAlignment="1">
      <alignment horizontal="right"/>
      <protection/>
    </xf>
    <xf numFmtId="193" fontId="13" fillId="0" borderId="19" xfId="37" applyNumberFormat="1" applyFont="1" applyBorder="1" applyAlignment="1">
      <alignment horizontal="right"/>
      <protection/>
    </xf>
    <xf numFmtId="167" fontId="13" fillId="0" borderId="19" xfId="37" applyNumberFormat="1" applyFont="1" applyBorder="1" applyAlignment="1">
      <alignment horizontal="center"/>
      <protection/>
    </xf>
    <xf numFmtId="0" fontId="1" fillId="0" borderId="14" xfId="39" applyFont="1" applyBorder="1">
      <alignment/>
      <protection/>
    </xf>
    <xf numFmtId="0" fontId="1" fillId="0" borderId="14" xfId="39" applyFont="1" applyBorder="1" applyAlignment="1">
      <alignment/>
      <protection/>
    </xf>
    <xf numFmtId="0" fontId="1" fillId="0" borderId="31" xfId="40" applyFont="1" applyBorder="1" applyAlignment="1">
      <alignment horizontal="center"/>
      <protection/>
    </xf>
    <xf numFmtId="167" fontId="13" fillId="0" borderId="26" xfId="37" applyNumberFormat="1" applyFont="1" applyBorder="1" applyAlignment="1">
      <alignment horizontal="center"/>
      <protection/>
    </xf>
    <xf numFmtId="167" fontId="13" fillId="0" borderId="10" xfId="37" applyNumberFormat="1" applyFont="1" applyBorder="1" applyAlignment="1">
      <alignment horizont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 quotePrefix="1">
      <alignment vertical="center" wrapText="1"/>
    </xf>
    <xf numFmtId="0" fontId="14" fillId="0" borderId="0" xfId="36" applyFont="1" applyAlignment="1">
      <alignment horizontal="left"/>
      <protection/>
    </xf>
    <xf numFmtId="0" fontId="1" fillId="0" borderId="19" xfId="0" applyFont="1" applyBorder="1" applyAlignment="1">
      <alignment/>
    </xf>
    <xf numFmtId="0" fontId="1" fillId="0" borderId="81" xfId="0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/>
    </xf>
    <xf numFmtId="3" fontId="1" fillId="0" borderId="82" xfId="0" applyNumberFormat="1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3" xfId="0" applyFont="1" applyFill="1" applyBorder="1" applyAlignment="1">
      <alignment/>
    </xf>
    <xf numFmtId="166" fontId="1" fillId="0" borderId="83" xfId="0" applyNumberFormat="1" applyFont="1" applyBorder="1" applyAlignment="1">
      <alignment/>
    </xf>
    <xf numFmtId="0" fontId="1" fillId="0" borderId="83" xfId="0" applyFont="1" applyBorder="1" applyAlignment="1">
      <alignment horizontal="right"/>
    </xf>
    <xf numFmtId="0" fontId="1" fillId="0" borderId="81" xfId="0" applyFont="1" applyFill="1" applyBorder="1" applyAlignment="1">
      <alignment/>
    </xf>
    <xf numFmtId="1" fontId="1" fillId="0" borderId="82" xfId="0" applyNumberFormat="1" applyFont="1" applyBorder="1" applyAlignment="1">
      <alignment/>
    </xf>
    <xf numFmtId="1" fontId="1" fillId="0" borderId="84" xfId="0" applyNumberFormat="1" applyFont="1" applyBorder="1" applyAlignment="1">
      <alignment/>
    </xf>
    <xf numFmtId="0" fontId="1" fillId="0" borderId="82" xfId="0" applyFont="1" applyBorder="1" applyAlignment="1">
      <alignment horizontal="right"/>
    </xf>
    <xf numFmtId="0" fontId="1" fillId="0" borderId="81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83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1" fillId="0" borderId="17" xfId="0" applyFont="1" applyBorder="1" applyAlignment="1">
      <alignment wrapText="1"/>
    </xf>
    <xf numFmtId="164" fontId="1" fillId="0" borderId="17" xfId="0" applyNumberFormat="1" applyFont="1" applyBorder="1" applyAlignment="1">
      <alignment/>
    </xf>
    <xf numFmtId="0" fontId="1" fillId="0" borderId="82" xfId="0" applyFont="1" applyBorder="1" applyAlignment="1">
      <alignment wrapText="1"/>
    </xf>
    <xf numFmtId="0" fontId="1" fillId="0" borderId="84" xfId="0" applyFont="1" applyBorder="1" applyAlignment="1">
      <alignment horizontal="right"/>
    </xf>
    <xf numFmtId="174" fontId="1" fillId="0" borderId="0" xfId="0" applyNumberFormat="1" applyFont="1" applyFill="1" applyBorder="1" applyAlignment="1">
      <alignment horizontal="right" vertical="center"/>
    </xf>
    <xf numFmtId="174" fontId="1" fillId="0" borderId="6" xfId="0" applyNumberFormat="1" applyFont="1" applyFill="1" applyBorder="1" applyAlignment="1">
      <alignment horizontal="right" vertical="center"/>
    </xf>
    <xf numFmtId="174" fontId="1" fillId="0" borderId="1" xfId="0" applyNumberFormat="1" applyFont="1" applyBorder="1" applyAlignment="1">
      <alignment horizontal="right" vertical="center"/>
    </xf>
    <xf numFmtId="17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right" vertical="center"/>
    </xf>
    <xf numFmtId="174" fontId="1" fillId="0" borderId="3" xfId="0" applyNumberFormat="1" applyFont="1" applyBorder="1" applyAlignment="1">
      <alignment horizontal="right" vertical="center"/>
    </xf>
    <xf numFmtId="174" fontId="1" fillId="0" borderId="20" xfId="0" applyNumberFormat="1" applyFont="1" applyBorder="1" applyAlignment="1">
      <alignment horizontal="right" vertical="center"/>
    </xf>
    <xf numFmtId="174" fontId="1" fillId="0" borderId="4" xfId="0" applyNumberFormat="1" applyFont="1" applyBorder="1" applyAlignment="1">
      <alignment horizontal="right" vertical="center"/>
    </xf>
    <xf numFmtId="174" fontId="1" fillId="0" borderId="5" xfId="0" applyNumberFormat="1" applyFont="1" applyBorder="1" applyAlignment="1">
      <alignment horizontal="right" vertical="center"/>
    </xf>
    <xf numFmtId="174" fontId="1" fillId="0" borderId="6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center" vertical="center"/>
    </xf>
    <xf numFmtId="181" fontId="1" fillId="0" borderId="8" xfId="0" applyNumberFormat="1" applyFont="1" applyBorder="1" applyAlignment="1">
      <alignment horizontal="center" vertical="center"/>
    </xf>
    <xf numFmtId="179" fontId="1" fillId="0" borderId="7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74" fontId="1" fillId="0" borderId="7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8" xfId="0" applyNumberFormat="1" applyFont="1" applyBorder="1" applyAlignment="1">
      <alignment horizontal="right" vertical="center"/>
    </xf>
    <xf numFmtId="164" fontId="1" fillId="0" borderId="6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7" fontId="3" fillId="0" borderId="5" xfId="15" applyNumberFormat="1" applyFont="1" applyBorder="1" applyAlignment="1">
      <alignment/>
    </xf>
    <xf numFmtId="177" fontId="3" fillId="0" borderId="6" xfId="15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97" fontId="1" fillId="0" borderId="7" xfId="0" applyNumberFormat="1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197" fontId="1" fillId="0" borderId="8" xfId="0" applyNumberFormat="1" applyFont="1" applyBorder="1" applyAlignment="1">
      <alignment horizontal="right" vertical="center"/>
    </xf>
    <xf numFmtId="195" fontId="1" fillId="0" borderId="5" xfId="0" applyNumberFormat="1" applyFont="1" applyBorder="1" applyAlignment="1">
      <alignment horizontal="center" vertical="center"/>
    </xf>
    <xf numFmtId="195" fontId="1" fillId="0" borderId="6" xfId="0" applyNumberFormat="1" applyFont="1" applyBorder="1" applyAlignment="1">
      <alignment horizontal="center" vertical="center"/>
    </xf>
    <xf numFmtId="196" fontId="1" fillId="0" borderId="7" xfId="0" applyNumberFormat="1" applyFont="1" applyBorder="1" applyAlignment="1">
      <alignment horizontal="center" vertical="center"/>
    </xf>
    <xf numFmtId="196" fontId="1" fillId="0" borderId="14" xfId="0" applyNumberFormat="1" applyFont="1" applyBorder="1" applyAlignment="1">
      <alignment horizontal="center" vertical="center"/>
    </xf>
    <xf numFmtId="196" fontId="1" fillId="0" borderId="8" xfId="0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right" vertical="center"/>
    </xf>
    <xf numFmtId="197" fontId="1" fillId="0" borderId="19" xfId="0" applyNumberFormat="1" applyFont="1" applyBorder="1" applyAlignment="1">
      <alignment horizontal="right" vertical="center"/>
    </xf>
    <xf numFmtId="197" fontId="1" fillId="0" borderId="4" xfId="0" applyNumberFormat="1" applyFont="1" applyBorder="1" applyAlignment="1">
      <alignment horizontal="right" vertical="center"/>
    </xf>
    <xf numFmtId="195" fontId="1" fillId="0" borderId="19" xfId="0" applyNumberFormat="1" applyFont="1" applyBorder="1" applyAlignment="1">
      <alignment horizontal="left" vertical="center"/>
    </xf>
    <xf numFmtId="196" fontId="1" fillId="0" borderId="3" xfId="0" applyNumberFormat="1" applyFont="1" applyBorder="1" applyAlignment="1">
      <alignment horizontal="right" vertical="center"/>
    </xf>
    <xf numFmtId="196" fontId="1" fillId="0" borderId="20" xfId="0" applyNumberFormat="1" applyFont="1" applyBorder="1" applyAlignment="1">
      <alignment horizontal="right" vertical="center"/>
    </xf>
    <xf numFmtId="196" fontId="1" fillId="0" borderId="4" xfId="0" applyNumberFormat="1" applyFont="1" applyBorder="1" applyAlignment="1">
      <alignment horizontal="right" vertical="center"/>
    </xf>
    <xf numFmtId="197" fontId="1" fillId="0" borderId="7" xfId="0" applyNumberFormat="1" applyFont="1" applyFill="1" applyBorder="1" applyAlignment="1">
      <alignment horizontal="right" vertical="center"/>
    </xf>
    <xf numFmtId="197" fontId="1" fillId="0" borderId="18" xfId="0" applyNumberFormat="1" applyFont="1" applyFill="1" applyBorder="1" applyAlignment="1">
      <alignment horizontal="right" vertical="center"/>
    </xf>
    <xf numFmtId="197" fontId="1" fillId="0" borderId="8" xfId="0" applyNumberFormat="1" applyFont="1" applyFill="1" applyBorder="1" applyAlignment="1">
      <alignment horizontal="right" vertical="center"/>
    </xf>
    <xf numFmtId="195" fontId="1" fillId="0" borderId="7" xfId="0" applyNumberFormat="1" applyFont="1" applyBorder="1" applyAlignment="1">
      <alignment horizontal="center" vertical="center"/>
    </xf>
    <xf numFmtId="195" fontId="1" fillId="0" borderId="8" xfId="0" applyNumberFormat="1" applyFont="1" applyBorder="1" applyAlignment="1">
      <alignment horizontal="center" vertical="center"/>
    </xf>
    <xf numFmtId="197" fontId="1" fillId="0" borderId="1" xfId="0" applyNumberFormat="1" applyFont="1" applyBorder="1" applyAlignment="1">
      <alignment horizontal="right" vertical="center"/>
    </xf>
    <xf numFmtId="197" fontId="1" fillId="0" borderId="17" xfId="0" applyNumberFormat="1" applyFont="1" applyBorder="1" applyAlignment="1">
      <alignment horizontal="right" vertical="center"/>
    </xf>
    <xf numFmtId="197" fontId="1" fillId="0" borderId="2" xfId="0" applyNumberFormat="1" applyFont="1" applyBorder="1" applyAlignment="1">
      <alignment horizontal="right" vertical="center"/>
    </xf>
    <xf numFmtId="195" fontId="1" fillId="0" borderId="16" xfId="0" applyNumberFormat="1" applyFont="1" applyBorder="1" applyAlignment="1">
      <alignment horizontal="left" vertical="center"/>
    </xf>
    <xf numFmtId="196" fontId="1" fillId="0" borderId="1" xfId="0" applyNumberFormat="1" applyFont="1" applyBorder="1" applyAlignment="1">
      <alignment horizontal="right" vertical="center"/>
    </xf>
    <xf numFmtId="196" fontId="1" fillId="0" borderId="9" xfId="0" applyNumberFormat="1" applyFont="1" applyBorder="1" applyAlignment="1">
      <alignment horizontal="right" vertical="center"/>
    </xf>
    <xf numFmtId="196" fontId="1" fillId="0" borderId="2" xfId="0" applyNumberFormat="1" applyFont="1" applyBorder="1" applyAlignment="1">
      <alignment horizontal="right" vertical="center"/>
    </xf>
    <xf numFmtId="197" fontId="1" fillId="0" borderId="5" xfId="0" applyNumberFormat="1" applyFont="1" applyBorder="1" applyAlignment="1">
      <alignment horizontal="right" vertical="center"/>
    </xf>
    <xf numFmtId="197" fontId="1" fillId="0" borderId="16" xfId="0" applyNumberFormat="1" applyFont="1" applyBorder="1" applyAlignment="1">
      <alignment horizontal="right" vertical="center"/>
    </xf>
    <xf numFmtId="197" fontId="1" fillId="0" borderId="6" xfId="0" applyNumberFormat="1" applyFont="1" applyBorder="1" applyAlignment="1">
      <alignment horizontal="right" vertical="center"/>
    </xf>
    <xf numFmtId="196" fontId="1" fillId="0" borderId="5" xfId="0" applyNumberFormat="1" applyFont="1" applyBorder="1" applyAlignment="1">
      <alignment horizontal="right" vertical="center"/>
    </xf>
    <xf numFmtId="196" fontId="1" fillId="0" borderId="0" xfId="0" applyNumberFormat="1" applyFont="1" applyBorder="1" applyAlignment="1">
      <alignment horizontal="right" vertical="center"/>
    </xf>
    <xf numFmtId="196" fontId="1" fillId="0" borderId="6" xfId="0" applyNumberFormat="1" applyFont="1" applyBorder="1" applyAlignment="1">
      <alignment horizontal="right" vertical="center"/>
    </xf>
    <xf numFmtId="196" fontId="1" fillId="0" borderId="5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196" fontId="1" fillId="0" borderId="6" xfId="0" applyNumberFormat="1" applyFont="1" applyBorder="1" applyAlignment="1">
      <alignment horizontal="center" vertical="center"/>
    </xf>
    <xf numFmtId="195" fontId="1" fillId="0" borderId="1" xfId="0" applyNumberFormat="1" applyFont="1" applyBorder="1" applyAlignment="1">
      <alignment horizontal="left" vertical="center"/>
    </xf>
    <xf numFmtId="195" fontId="1" fillId="0" borderId="2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" fillId="0" borderId="1" xfId="35" applyFont="1" applyBorder="1" applyAlignment="1">
      <alignment horizontal="center" vertical="center"/>
      <protection/>
    </xf>
    <xf numFmtId="0" fontId="1" fillId="0" borderId="5" xfId="35" applyFont="1" applyBorder="1" applyAlignment="1">
      <alignment horizontal="center" vertical="center"/>
      <protection/>
    </xf>
    <xf numFmtId="0" fontId="1" fillId="0" borderId="7" xfId="35" applyFont="1" applyBorder="1" applyAlignment="1">
      <alignment horizontal="center" vertical="center"/>
      <protection/>
    </xf>
    <xf numFmtId="0" fontId="1" fillId="0" borderId="17" xfId="35" applyFont="1" applyBorder="1" applyAlignment="1">
      <alignment horizontal="center" vertical="center"/>
      <protection/>
    </xf>
    <xf numFmtId="0" fontId="20" fillId="0" borderId="16" xfId="35" applyFont="1" applyBorder="1" applyAlignment="1">
      <alignment horizontal="center" vertical="center"/>
      <protection/>
    </xf>
    <xf numFmtId="0" fontId="20" fillId="0" borderId="18" xfId="35" applyFont="1" applyBorder="1" applyAlignment="1">
      <alignment horizontal="center" vertical="center"/>
      <protection/>
    </xf>
    <xf numFmtId="0" fontId="1" fillId="0" borderId="2" xfId="35" applyFont="1" applyBorder="1" applyAlignment="1">
      <alignment horizontal="center" vertical="center"/>
      <protection/>
    </xf>
    <xf numFmtId="0" fontId="1" fillId="0" borderId="8" xfId="35" applyFont="1" applyBorder="1" applyAlignment="1">
      <alignment horizontal="center" vertical="center"/>
      <protection/>
    </xf>
    <xf numFmtId="0" fontId="1" fillId="0" borderId="16" xfId="35" applyFont="1" applyBorder="1" applyAlignment="1">
      <alignment horizontal="center" vertical="center"/>
      <protection/>
    </xf>
    <xf numFmtId="0" fontId="1" fillId="0" borderId="18" xfId="35" applyFont="1" applyBorder="1" applyAlignment="1">
      <alignment horizontal="center" vertical="center"/>
      <protection/>
    </xf>
    <xf numFmtId="0" fontId="1" fillId="0" borderId="1" xfId="36" applyFont="1" applyBorder="1" applyAlignment="1">
      <alignment horizontal="center" vertical="center"/>
      <protection/>
    </xf>
    <xf numFmtId="0" fontId="1" fillId="0" borderId="5" xfId="36" applyFont="1" applyBorder="1" applyAlignment="1">
      <alignment horizontal="center" vertical="center"/>
      <protection/>
    </xf>
    <xf numFmtId="0" fontId="1" fillId="0" borderId="7" xfId="36" applyFont="1" applyBorder="1" applyAlignment="1">
      <alignment horizontal="center" vertical="center"/>
      <protection/>
    </xf>
    <xf numFmtId="0" fontId="1" fillId="0" borderId="1" xfId="36" applyFont="1" applyBorder="1" applyAlignment="1">
      <alignment horizontal="center" vertical="center" wrapText="1"/>
      <protection/>
    </xf>
    <xf numFmtId="0" fontId="1" fillId="0" borderId="9" xfId="36" applyFont="1" applyBorder="1" applyAlignment="1">
      <alignment horizontal="center" vertical="center" wrapText="1"/>
      <protection/>
    </xf>
    <xf numFmtId="0" fontId="1" fillId="0" borderId="2" xfId="36" applyFont="1" applyBorder="1" applyAlignment="1">
      <alignment horizontal="center" vertical="center" wrapText="1"/>
      <protection/>
    </xf>
    <xf numFmtId="0" fontId="1" fillId="0" borderId="7" xfId="36" applyFont="1" applyBorder="1" applyAlignment="1">
      <alignment horizontal="center" vertical="center" wrapText="1"/>
      <protection/>
    </xf>
    <xf numFmtId="0" fontId="1" fillId="0" borderId="14" xfId="36" applyFont="1" applyBorder="1" applyAlignment="1">
      <alignment horizontal="center" vertical="center" wrapText="1"/>
      <protection/>
    </xf>
    <xf numFmtId="0" fontId="1" fillId="0" borderId="8" xfId="36" applyFont="1" applyBorder="1" applyAlignment="1">
      <alignment horizontal="center" vertical="center" wrapText="1"/>
      <protection/>
    </xf>
    <xf numFmtId="0" fontId="1" fillId="0" borderId="3" xfId="36" applyFont="1" applyBorder="1" applyAlignment="1">
      <alignment horizontal="center" vertical="center" wrapText="1"/>
      <protection/>
    </xf>
    <xf numFmtId="0" fontId="1" fillId="0" borderId="20" xfId="36" applyFont="1" applyBorder="1" applyAlignment="1">
      <alignment horizontal="center" vertical="center" wrapText="1"/>
      <protection/>
    </xf>
    <xf numFmtId="0" fontId="1" fillId="0" borderId="4" xfId="36" applyFont="1" applyBorder="1" applyAlignment="1">
      <alignment horizontal="center" vertical="center" wrapText="1"/>
      <protection/>
    </xf>
    <xf numFmtId="0" fontId="1" fillId="0" borderId="17" xfId="36" applyFont="1" applyBorder="1" applyAlignment="1">
      <alignment horizontal="center" vertical="center"/>
      <protection/>
    </xf>
    <xf numFmtId="0" fontId="1" fillId="0" borderId="16" xfId="36" applyFont="1" applyBorder="1" applyAlignment="1">
      <alignment horizontal="center" vertical="center"/>
      <protection/>
    </xf>
    <xf numFmtId="0" fontId="1" fillId="0" borderId="18" xfId="36" applyFont="1" applyBorder="1" applyAlignment="1">
      <alignment horizontal="center" vertical="center"/>
      <protection/>
    </xf>
    <xf numFmtId="0" fontId="13" fillId="0" borderId="1" xfId="36" applyFont="1" applyBorder="1" applyAlignment="1">
      <alignment horizontal="center" vertical="center" wrapText="1"/>
      <protection/>
    </xf>
    <xf numFmtId="0" fontId="13" fillId="0" borderId="9" xfId="36" applyFont="1" applyBorder="1" applyAlignment="1">
      <alignment horizontal="center" vertical="center" wrapText="1"/>
      <protection/>
    </xf>
    <xf numFmtId="0" fontId="13" fillId="0" borderId="2" xfId="36" applyFont="1" applyBorder="1" applyAlignment="1">
      <alignment horizontal="center" vertical="center" wrapText="1"/>
      <protection/>
    </xf>
    <xf numFmtId="0" fontId="13" fillId="0" borderId="7" xfId="36" applyFont="1" applyBorder="1" applyAlignment="1">
      <alignment horizontal="center" vertical="center" wrapText="1"/>
      <protection/>
    </xf>
    <xf numFmtId="0" fontId="13" fillId="0" borderId="14" xfId="36" applyFont="1" applyBorder="1" applyAlignment="1">
      <alignment horizontal="center" vertical="center" wrapText="1"/>
      <protection/>
    </xf>
    <xf numFmtId="0" fontId="13" fillId="0" borderId="8" xfId="36" applyFont="1" applyBorder="1" applyAlignment="1">
      <alignment horizontal="center" vertical="center" wrapText="1"/>
      <protection/>
    </xf>
    <xf numFmtId="0" fontId="13" fillId="0" borderId="3" xfId="36" applyFont="1" applyBorder="1" applyAlignment="1">
      <alignment horizontal="center" vertical="center" wrapText="1"/>
      <protection/>
    </xf>
    <xf numFmtId="0" fontId="13" fillId="0" borderId="20" xfId="36" applyFont="1" applyBorder="1" applyAlignment="1">
      <alignment horizontal="center" vertical="center" wrapText="1"/>
      <protection/>
    </xf>
    <xf numFmtId="0" fontId="13" fillId="0" borderId="4" xfId="36" applyFont="1" applyBorder="1" applyAlignment="1">
      <alignment horizontal="center" vertical="center" wrapText="1"/>
      <protection/>
    </xf>
    <xf numFmtId="0" fontId="1" fillId="0" borderId="17" xfId="38" applyFont="1" applyBorder="1" applyAlignment="1">
      <alignment horizontal="center" vertical="center" wrapText="1"/>
      <protection/>
    </xf>
    <xf numFmtId="0" fontId="1" fillId="0" borderId="18" xfId="38" applyFont="1" applyBorder="1" applyAlignment="1">
      <alignment horizontal="center" vertical="center" wrapText="1"/>
      <protection/>
    </xf>
    <xf numFmtId="0" fontId="1" fillId="0" borderId="2" xfId="38" applyFont="1" applyBorder="1" applyAlignment="1">
      <alignment horizontal="center" vertical="center" wrapText="1"/>
      <protection/>
    </xf>
    <xf numFmtId="0" fontId="1" fillId="0" borderId="8" xfId="38" applyFont="1" applyBorder="1" applyAlignment="1">
      <alignment horizontal="center" vertical="center" wrapText="1"/>
      <protection/>
    </xf>
    <xf numFmtId="0" fontId="1" fillId="0" borderId="3" xfId="39" applyFont="1" applyBorder="1" applyAlignment="1">
      <alignment horizontal="center"/>
      <protection/>
    </xf>
    <xf numFmtId="0" fontId="1" fillId="0" borderId="20" xfId="39" applyFont="1" applyBorder="1" applyAlignment="1">
      <alignment horizontal="center"/>
      <protection/>
    </xf>
    <xf numFmtId="0" fontId="1" fillId="0" borderId="4" xfId="39" applyFont="1" applyBorder="1" applyAlignment="1">
      <alignment horizontal="center"/>
      <protection/>
    </xf>
    <xf numFmtId="0" fontId="1" fillId="0" borderId="1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horizontal="center" vertical="center"/>
      <protection/>
    </xf>
    <xf numFmtId="0" fontId="1" fillId="0" borderId="2" xfId="39" applyFont="1" applyBorder="1" applyAlignment="1">
      <alignment horizontal="center" vertical="center"/>
      <protection/>
    </xf>
    <xf numFmtId="0" fontId="1" fillId="0" borderId="7" xfId="39" applyFont="1" applyBorder="1" applyAlignment="1">
      <alignment horizontal="center" vertical="center"/>
      <protection/>
    </xf>
    <xf numFmtId="0" fontId="1" fillId="0" borderId="14" xfId="39" applyFont="1" applyBorder="1" applyAlignment="1">
      <alignment horizontal="center" vertical="center"/>
      <protection/>
    </xf>
    <xf numFmtId="0" fontId="1" fillId="0" borderId="8" xfId="39" applyFont="1" applyBorder="1" applyAlignment="1">
      <alignment horizontal="center" vertical="center"/>
      <protection/>
    </xf>
    <xf numFmtId="0" fontId="1" fillId="0" borderId="1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2" xfId="40" applyFont="1" applyBorder="1" applyAlignment="1">
      <alignment horizontal="center" vertical="center" wrapText="1"/>
      <protection/>
    </xf>
    <xf numFmtId="0" fontId="1" fillId="0" borderId="7" xfId="40" applyFont="1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8" xfId="40" applyFont="1" applyBorder="1" applyAlignment="1">
      <alignment horizontal="center" vertical="center" wrapText="1"/>
      <protection/>
    </xf>
    <xf numFmtId="0" fontId="1" fillId="0" borderId="3" xfId="40" applyFont="1" applyBorder="1" applyAlignment="1">
      <alignment horizontal="center"/>
      <protection/>
    </xf>
    <xf numFmtId="0" fontId="1" fillId="0" borderId="20" xfId="40" applyFont="1" applyBorder="1" applyAlignment="1">
      <alignment horizontal="center"/>
      <protection/>
    </xf>
    <xf numFmtId="0" fontId="1" fillId="0" borderId="4" xfId="40" applyFont="1" applyBorder="1" applyAlignment="1">
      <alignment horizontal="center"/>
      <protection/>
    </xf>
    <xf numFmtId="0" fontId="13" fillId="0" borderId="85" xfId="29" applyFont="1" applyBorder="1" applyAlignment="1">
      <alignment horizontal="center" vertical="center"/>
      <protection/>
    </xf>
    <xf numFmtId="0" fontId="17" fillId="0" borderId="32" xfId="29" applyBorder="1" applyAlignment="1">
      <alignment horizontal="center" vertical="center"/>
      <protection/>
    </xf>
    <xf numFmtId="0" fontId="17" fillId="0" borderId="33" xfId="29" applyBorder="1" applyAlignment="1">
      <alignment horizontal="center" vertical="center"/>
      <protection/>
    </xf>
    <xf numFmtId="0" fontId="17" fillId="0" borderId="35" xfId="29" applyBorder="1" applyAlignment="1">
      <alignment horizontal="center" vertical="center"/>
      <protection/>
    </xf>
    <xf numFmtId="0" fontId="17" fillId="0" borderId="0" xfId="29" applyBorder="1" applyAlignment="1">
      <alignment horizontal="center" vertical="center"/>
      <protection/>
    </xf>
    <xf numFmtId="0" fontId="17" fillId="0" borderId="36" xfId="29" applyBorder="1" applyAlignment="1">
      <alignment horizontal="center" vertical="center"/>
      <protection/>
    </xf>
    <xf numFmtId="0" fontId="1" fillId="0" borderId="86" xfId="29" applyFont="1" applyBorder="1" applyAlignment="1">
      <alignment horizontal="center"/>
      <protection/>
    </xf>
    <xf numFmtId="0" fontId="1" fillId="0" borderId="87" xfId="29" applyFont="1" applyBorder="1" applyAlignment="1">
      <alignment horizontal="center"/>
      <protection/>
    </xf>
    <xf numFmtId="0" fontId="1" fillId="0" borderId="88" xfId="29" applyFont="1" applyBorder="1" applyAlignment="1">
      <alignment horizontal="center"/>
      <protection/>
    </xf>
    <xf numFmtId="0" fontId="13" fillId="0" borderId="0" xfId="0" applyFont="1" applyAlignment="1">
      <alignment horizontal="left" wrapText="1"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30" applyFont="1" applyBorder="1" applyAlignment="1">
      <alignment horizontal="center" vertical="center" wrapText="1"/>
      <protection/>
    </xf>
    <xf numFmtId="0" fontId="1" fillId="0" borderId="18" xfId="30" applyFont="1" applyBorder="1" applyAlignment="1">
      <alignment horizontal="center" vertical="center" wrapText="1"/>
      <protection/>
    </xf>
    <xf numFmtId="0" fontId="3" fillId="0" borderId="3" xfId="31" applyFont="1" applyBorder="1" applyAlignment="1">
      <alignment horizontal="center" vertical="center"/>
      <protection/>
    </xf>
    <xf numFmtId="0" fontId="3" fillId="0" borderId="20" xfId="31" applyFont="1" applyBorder="1" applyAlignment="1">
      <alignment horizontal="center" vertical="center"/>
      <protection/>
    </xf>
    <xf numFmtId="0" fontId="3" fillId="0" borderId="4" xfId="31" applyFont="1" applyBorder="1" applyAlignment="1">
      <alignment horizontal="center" vertical="center"/>
      <protection/>
    </xf>
    <xf numFmtId="0" fontId="1" fillId="0" borderId="1" xfId="31" applyFont="1" applyBorder="1" applyAlignment="1">
      <alignment horizontal="center" vertical="center" wrapText="1"/>
      <protection/>
    </xf>
    <xf numFmtId="0" fontId="1" fillId="0" borderId="9" xfId="31" applyFont="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" vertical="center" wrapText="1"/>
      <protection/>
    </xf>
    <xf numFmtId="0" fontId="1" fillId="0" borderId="7" xfId="31" applyFont="1" applyBorder="1" applyAlignment="1">
      <alignment horizontal="center" vertical="center" wrapText="1"/>
      <protection/>
    </xf>
    <xf numFmtId="0" fontId="1" fillId="0" borderId="14" xfId="31" applyFont="1" applyBorder="1" applyAlignment="1">
      <alignment horizontal="center" vertical="center" wrapText="1"/>
      <protection/>
    </xf>
    <xf numFmtId="0" fontId="1" fillId="0" borderId="8" xfId="31" applyFont="1" applyBorder="1" applyAlignment="1">
      <alignment horizontal="center" vertical="center" wrapText="1"/>
      <protection/>
    </xf>
    <xf numFmtId="0" fontId="1" fillId="0" borderId="3" xfId="31" applyFont="1" applyBorder="1" applyAlignment="1">
      <alignment horizontal="center" vertical="center"/>
      <protection/>
    </xf>
    <xf numFmtId="0" fontId="1" fillId="0" borderId="20" xfId="31" applyFont="1" applyBorder="1" applyAlignment="1">
      <alignment horizontal="center" vertical="center"/>
      <protection/>
    </xf>
    <xf numFmtId="0" fontId="1" fillId="0" borderId="4" xfId="31" applyFont="1" applyBorder="1" applyAlignment="1">
      <alignment horizontal="center" vertical="center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2" xfId="32" applyFont="1" applyBorder="1" applyAlignment="1">
      <alignment horizontal="center" vertical="center" wrapText="1"/>
      <protection/>
    </xf>
    <xf numFmtId="0" fontId="1" fillId="0" borderId="7" xfId="32" applyFont="1" applyBorder="1" applyAlignment="1">
      <alignment horizontal="center" vertical="center" wrapText="1"/>
      <protection/>
    </xf>
    <xf numFmtId="0" fontId="1" fillId="0" borderId="14" xfId="32" applyFont="1" applyBorder="1" applyAlignment="1">
      <alignment horizontal="center" vertical="center" wrapText="1"/>
      <protection/>
    </xf>
    <xf numFmtId="0" fontId="1" fillId="0" borderId="8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 horizontal="center" vertical="center"/>
      <protection/>
    </xf>
    <xf numFmtId="0" fontId="3" fillId="0" borderId="20" xfId="32" applyFont="1" applyBorder="1" applyAlignment="1">
      <alignment horizontal="center" vertical="center"/>
      <protection/>
    </xf>
    <xf numFmtId="0" fontId="3" fillId="0" borderId="4" xfId="32" applyFont="1" applyBorder="1" applyAlignment="1">
      <alignment horizontal="center" vertical="center"/>
      <protection/>
    </xf>
    <xf numFmtId="0" fontId="1" fillId="0" borderId="3" xfId="32" applyFont="1" applyBorder="1" applyAlignment="1">
      <alignment horizontal="center" vertical="center"/>
      <protection/>
    </xf>
    <xf numFmtId="0" fontId="1" fillId="0" borderId="20" xfId="32" applyFont="1" applyBorder="1" applyAlignment="1">
      <alignment horizontal="center" vertical="center"/>
      <protection/>
    </xf>
    <xf numFmtId="0" fontId="1" fillId="0" borderId="4" xfId="32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" fillId="0" borderId="3" xfId="26" applyFont="1" applyBorder="1" applyAlignment="1">
      <alignment horizontal="center"/>
      <protection/>
    </xf>
    <xf numFmtId="0" fontId="1" fillId="0" borderId="4" xfId="26" applyFont="1" applyBorder="1" applyAlignment="1">
      <alignment horizontal="center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7" xfId="26" applyFont="1" applyBorder="1" applyAlignment="1">
      <alignment horizontal="center" vertical="center" wrapText="1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0" fontId="1" fillId="0" borderId="7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3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/>
      <protection/>
    </xf>
    <xf numFmtId="0" fontId="1" fillId="0" borderId="1" xfId="33" applyFont="1" applyBorder="1" applyAlignment="1">
      <alignment horizontal="center" vertical="center"/>
      <protection/>
    </xf>
    <xf numFmtId="0" fontId="1" fillId="0" borderId="9" xfId="33" applyFont="1" applyBorder="1" applyAlignment="1">
      <alignment horizontal="center" vertical="center"/>
      <protection/>
    </xf>
    <xf numFmtId="0" fontId="1" fillId="0" borderId="2" xfId="33" applyFont="1" applyBorder="1" applyAlignment="1">
      <alignment horizontal="center" vertical="center"/>
      <protection/>
    </xf>
    <xf numFmtId="0" fontId="1" fillId="0" borderId="7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8" xfId="33" applyFont="1" applyBorder="1" applyAlignment="1">
      <alignment horizontal="center" vertical="center"/>
      <protection/>
    </xf>
    <xf numFmtId="0" fontId="4" fillId="0" borderId="35" xfId="28" applyFont="1" applyBorder="1" applyAlignment="1">
      <alignment horizontal="left" vertical="center" wrapText="1"/>
      <protection/>
    </xf>
    <xf numFmtId="0" fontId="4" fillId="0" borderId="0" xfId="28" applyFont="1" applyBorder="1" applyAlignment="1">
      <alignment horizontal="left" vertical="center" wrapText="1"/>
      <protection/>
    </xf>
    <xf numFmtId="0" fontId="4" fillId="0" borderId="89" xfId="28" applyFont="1" applyBorder="1" applyAlignment="1">
      <alignment horizontal="center" vertical="center"/>
      <protection/>
    </xf>
    <xf numFmtId="0" fontId="4" fillId="0" borderId="20" xfId="28" applyFont="1" applyBorder="1" applyAlignment="1">
      <alignment horizontal="center" vertical="center"/>
      <protection/>
    </xf>
    <xf numFmtId="0" fontId="4" fillId="0" borderId="34" xfId="28" applyFont="1" applyBorder="1" applyAlignment="1">
      <alignment horizontal="center" vertical="center"/>
      <protection/>
    </xf>
    <xf numFmtId="0" fontId="1" fillId="0" borderId="86" xfId="28" applyFont="1" applyBorder="1" applyAlignment="1">
      <alignment horizontal="center" vertical="center"/>
      <protection/>
    </xf>
    <xf numFmtId="0" fontId="1" fillId="0" borderId="87" xfId="28" applyFont="1" applyBorder="1" applyAlignment="1">
      <alignment horizontal="center" vertical="center"/>
      <protection/>
    </xf>
    <xf numFmtId="0" fontId="1" fillId="0" borderId="88" xfId="28" applyFont="1" applyBorder="1" applyAlignment="1">
      <alignment horizontal="center" vertical="center"/>
      <protection/>
    </xf>
    <xf numFmtId="0" fontId="4" fillId="0" borderId="89" xfId="28" applyFont="1" applyBorder="1" applyAlignment="1">
      <alignment horizontal="center" vertical="center" wrapText="1"/>
      <protection/>
    </xf>
    <xf numFmtId="0" fontId="4" fillId="0" borderId="20" xfId="28" applyFont="1" applyBorder="1" applyAlignment="1">
      <alignment horizontal="center" vertical="center" wrapText="1"/>
      <protection/>
    </xf>
    <xf numFmtId="0" fontId="4" fillId="0" borderId="34" xfId="28" applyFont="1" applyBorder="1" applyAlignment="1">
      <alignment horizontal="center" vertical="center" wrapText="1"/>
      <protection/>
    </xf>
    <xf numFmtId="0" fontId="14" fillId="0" borderId="85" xfId="28" applyFont="1" applyBorder="1" applyAlignment="1">
      <alignment horizontal="center" vertical="center" wrapText="1"/>
      <protection/>
    </xf>
    <xf numFmtId="0" fontId="14" fillId="0" borderId="32" xfId="28" applyFont="1" applyBorder="1" applyAlignment="1">
      <alignment horizontal="center" vertical="center" wrapText="1"/>
      <protection/>
    </xf>
    <xf numFmtId="0" fontId="14" fillId="0" borderId="33" xfId="28" applyFont="1" applyBorder="1" applyAlignment="1">
      <alignment horizontal="center" vertical="center" wrapText="1"/>
      <protection/>
    </xf>
    <xf numFmtId="0" fontId="14" fillId="0" borderId="38" xfId="28" applyFont="1" applyBorder="1" applyAlignment="1">
      <alignment horizontal="center" vertical="center" wrapText="1"/>
      <protection/>
    </xf>
    <xf numFmtId="0" fontId="14" fillId="0" borderId="14" xfId="28" applyFont="1" applyBorder="1" applyAlignment="1">
      <alignment horizontal="center" vertical="center" wrapText="1"/>
      <protection/>
    </xf>
    <xf numFmtId="0" fontId="14" fillId="0" borderId="39" xfId="28" applyFont="1" applyBorder="1" applyAlignment="1">
      <alignment horizontal="center" vertical="center" wrapText="1"/>
      <protection/>
    </xf>
    <xf numFmtId="0" fontId="13" fillId="0" borderId="86" xfId="28" applyFont="1" applyBorder="1" applyAlignment="1">
      <alignment horizontal="center" vertical="center"/>
      <protection/>
    </xf>
    <xf numFmtId="0" fontId="13" fillId="0" borderId="87" xfId="28" applyFont="1" applyBorder="1" applyAlignment="1">
      <alignment horizontal="center" vertical="center"/>
      <protection/>
    </xf>
    <xf numFmtId="0" fontId="13" fillId="0" borderId="88" xfId="28" applyFont="1" applyBorder="1" applyAlignment="1">
      <alignment horizontal="center" vertical="center"/>
      <protection/>
    </xf>
    <xf numFmtId="0" fontId="1" fillId="0" borderId="90" xfId="28" applyFont="1" applyBorder="1" applyAlignment="1">
      <alignment horizontal="center" vertical="center"/>
      <protection/>
    </xf>
    <xf numFmtId="0" fontId="3" fillId="0" borderId="89" xfId="28" applyFont="1" applyBorder="1" applyAlignment="1">
      <alignment horizontal="center" vertical="center"/>
      <protection/>
    </xf>
    <xf numFmtId="0" fontId="3" fillId="0" borderId="20" xfId="28" applyFont="1" applyBorder="1" applyAlignment="1">
      <alignment horizontal="center" vertical="center"/>
      <protection/>
    </xf>
    <xf numFmtId="0" fontId="3" fillId="0" borderId="34" xfId="28" applyFont="1" applyBorder="1" applyAlignment="1">
      <alignment horizontal="center" vertical="center"/>
      <protection/>
    </xf>
    <xf numFmtId="0" fontId="1" fillId="0" borderId="85" xfId="28" applyFont="1" applyBorder="1" applyAlignment="1">
      <alignment horizontal="center" vertical="center" wrapText="1"/>
      <protection/>
    </xf>
    <xf numFmtId="0" fontId="20" fillId="0" borderId="32" xfId="28" applyFont="1" applyBorder="1" applyAlignment="1">
      <alignment horizontal="center" vertical="center" wrapText="1"/>
      <protection/>
    </xf>
    <xf numFmtId="0" fontId="20" fillId="0" borderId="33" xfId="28" applyFont="1" applyBorder="1" applyAlignment="1">
      <alignment horizontal="center" vertical="center" wrapText="1"/>
      <protection/>
    </xf>
    <xf numFmtId="0" fontId="20" fillId="0" borderId="38" xfId="28" applyFont="1" applyBorder="1" applyAlignment="1">
      <alignment horizontal="center" vertical="center" wrapText="1"/>
      <protection/>
    </xf>
    <xf numFmtId="0" fontId="20" fillId="0" borderId="14" xfId="28" applyFont="1" applyBorder="1" applyAlignment="1">
      <alignment horizontal="center" vertical="center" wrapText="1"/>
      <protection/>
    </xf>
    <xf numFmtId="0" fontId="20" fillId="0" borderId="39" xfId="28" applyFont="1" applyBorder="1" applyAlignment="1">
      <alignment horizontal="center" vertical="center" wrapText="1"/>
      <protection/>
    </xf>
    <xf numFmtId="0" fontId="1" fillId="0" borderId="91" xfId="28" applyFont="1" applyBorder="1" applyAlignment="1">
      <alignment horizontal="center" vertical="center"/>
      <protection/>
    </xf>
    <xf numFmtId="0" fontId="13" fillId="0" borderId="17" xfId="37" applyFont="1" applyBorder="1" applyAlignment="1">
      <alignment horizontal="center" vertical="center"/>
      <protection/>
    </xf>
    <xf numFmtId="0" fontId="0" fillId="0" borderId="16" xfId="37" applyBorder="1" applyAlignment="1">
      <alignment vertical="center"/>
      <protection/>
    </xf>
    <xf numFmtId="0" fontId="0" fillId="0" borderId="18" xfId="37" applyBorder="1" applyAlignment="1">
      <alignment vertical="center"/>
      <protection/>
    </xf>
    <xf numFmtId="0" fontId="1" fillId="0" borderId="16" xfId="37" applyFont="1" applyBorder="1" applyAlignment="1">
      <alignment horizontal="center" vertical="center"/>
      <protection/>
    </xf>
    <xf numFmtId="0" fontId="1" fillId="0" borderId="18" xfId="37" applyFont="1" applyBorder="1" applyAlignment="1">
      <alignment horizontal="center" vertical="center"/>
      <protection/>
    </xf>
    <xf numFmtId="0" fontId="13" fillId="0" borderId="16" xfId="37" applyFont="1" applyBorder="1" applyAlignment="1">
      <alignment horizontal="center" vertical="center"/>
      <protection/>
    </xf>
    <xf numFmtId="0" fontId="13" fillId="0" borderId="18" xfId="37" applyFont="1" applyBorder="1" applyAlignment="1">
      <alignment horizontal="center" vertical="center"/>
      <protection/>
    </xf>
    <xf numFmtId="0" fontId="13" fillId="0" borderId="2" xfId="37" applyFont="1" applyBorder="1" applyAlignment="1">
      <alignment horizontal="center" vertical="center"/>
      <protection/>
    </xf>
    <xf numFmtId="0" fontId="0" fillId="0" borderId="6" xfId="37" applyFont="1" applyBorder="1" applyAlignment="1">
      <alignment horizontal="center" vertical="center"/>
      <protection/>
    </xf>
    <xf numFmtId="0" fontId="1" fillId="0" borderId="3" xfId="37" applyFont="1" applyBorder="1" applyAlignment="1">
      <alignment horizontal="center"/>
      <protection/>
    </xf>
    <xf numFmtId="0" fontId="1" fillId="0" borderId="20" xfId="37" applyFont="1" applyBorder="1" applyAlignment="1">
      <alignment horizontal="center"/>
      <protection/>
    </xf>
    <xf numFmtId="0" fontId="1" fillId="0" borderId="4" xfId="37" applyFont="1" applyBorder="1" applyAlignment="1">
      <alignment horizontal="center"/>
      <protection/>
    </xf>
    <xf numFmtId="0" fontId="13" fillId="0" borderId="2" xfId="37" applyFont="1" applyBorder="1" applyAlignment="1">
      <alignment horizontal="center" wrapText="1"/>
      <protection/>
    </xf>
    <xf numFmtId="0" fontId="0" fillId="0" borderId="6" xfId="37" applyBorder="1">
      <alignment/>
      <protection/>
    </xf>
    <xf numFmtId="0" fontId="0" fillId="0" borderId="8" xfId="37" applyBorder="1">
      <alignment/>
      <protection/>
    </xf>
    <xf numFmtId="0" fontId="0" fillId="0" borderId="8" xfId="37" applyFont="1" applyBorder="1" applyAlignment="1">
      <alignment horizontal="center" vertical="center"/>
      <protection/>
    </xf>
    <xf numFmtId="0" fontId="1" fillId="0" borderId="18" xfId="0" applyFont="1" applyBorder="1" applyAlignment="1">
      <alignment wrapText="1"/>
    </xf>
    <xf numFmtId="166" fontId="1" fillId="0" borderId="82" xfId="0" applyNumberFormat="1" applyFont="1" applyBorder="1" applyAlignment="1">
      <alignment/>
    </xf>
  </cellXfs>
  <cellStyles count="28">
    <cellStyle name="Normal" xfId="0"/>
    <cellStyle name="Comma" xfId="15"/>
    <cellStyle name="Comma [0]" xfId="16"/>
    <cellStyle name="Comma_Copy of T 4.57" xfId="17"/>
    <cellStyle name="Comma_Copy of T 4.58" xfId="18"/>
    <cellStyle name="Comma_SC &amp; HSC - Amended Tables" xfId="19"/>
    <cellStyle name="Comma_T13.2" xfId="20"/>
    <cellStyle name="Comma_T4.1-2" xfId="21"/>
    <cellStyle name="Currency" xfId="22"/>
    <cellStyle name="Currency [0]" xfId="23"/>
    <cellStyle name="Followed Hyperlink" xfId="24"/>
    <cellStyle name="Hyperlink" xfId="25"/>
    <cellStyle name="Normal_Copy of T 4.57" xfId="26"/>
    <cellStyle name="Normal_Copy of T 4.58" xfId="27"/>
    <cellStyle name="Normal_SC &amp; HSC - Amended Tables" xfId="28"/>
    <cellStyle name="Normal_T 16" xfId="29"/>
    <cellStyle name="Normal_T12.1-2" xfId="30"/>
    <cellStyle name="Normal_T13.1" xfId="31"/>
    <cellStyle name="Normal_T13.2" xfId="32"/>
    <cellStyle name="Normal_T17.1-2" xfId="33"/>
    <cellStyle name="Normal_T18" xfId="34"/>
    <cellStyle name="Normal_T4.1-2" xfId="35"/>
    <cellStyle name="Normal_T5.1-2 - Prim Enrol" xfId="36"/>
    <cellStyle name="Normal_T5.15" xfId="37"/>
    <cellStyle name="Normal_T6.1-2" xfId="38"/>
    <cellStyle name="Normal_T7.1" xfId="39"/>
    <cellStyle name="Normal_T7.2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3248025" y="958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16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23825" y="2962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1</xdr:col>
      <xdr:colOff>0</xdr:colOff>
      <xdr:row>17</xdr:row>
      <xdr:rowOff>152400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23825" y="37338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361950</xdr:colOff>
      <xdr:row>39</xdr:row>
      <xdr:rowOff>0</xdr:rowOff>
    </xdr:from>
    <xdr:ext cx="76200" cy="200025"/>
    <xdr:sp>
      <xdr:nvSpPr>
        <xdr:cNvPr id="8" name="Text 5"/>
        <xdr:cNvSpPr txBox="1">
          <a:spLocks noChangeArrowheads="1"/>
        </xdr:cNvSpPr>
      </xdr:nvSpPr>
      <xdr:spPr>
        <a:xfrm>
          <a:off x="3248025" y="958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</xdr:col>
      <xdr:colOff>0</xdr:colOff>
      <xdr:row>21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123825" y="4257675"/>
          <a:ext cx="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22</xdr:row>
      <xdr:rowOff>152400</xdr:rowOff>
    </xdr:to>
    <xdr:sp>
      <xdr:nvSpPr>
        <xdr:cNvPr id="10" name="Text 2"/>
        <xdr:cNvSpPr txBox="1">
          <a:spLocks noChangeArrowheads="1"/>
        </xdr:cNvSpPr>
      </xdr:nvSpPr>
      <xdr:spPr>
        <a:xfrm>
          <a:off x="123825" y="506730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10</xdr:col>
      <xdr:colOff>361950</xdr:colOff>
      <xdr:row>39</xdr:row>
      <xdr:rowOff>0</xdr:rowOff>
    </xdr:from>
    <xdr:ext cx="76200" cy="200025"/>
    <xdr:sp>
      <xdr:nvSpPr>
        <xdr:cNvPr id="11" name="Text 5"/>
        <xdr:cNvSpPr txBox="1">
          <a:spLocks noChangeArrowheads="1"/>
        </xdr:cNvSpPr>
      </xdr:nvSpPr>
      <xdr:spPr>
        <a:xfrm>
          <a:off x="7934325" y="958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39</xdr:row>
      <xdr:rowOff>0</xdr:rowOff>
    </xdr:from>
    <xdr:ext cx="76200" cy="200025"/>
    <xdr:sp>
      <xdr:nvSpPr>
        <xdr:cNvPr id="12" name="Text 5"/>
        <xdr:cNvSpPr txBox="1">
          <a:spLocks noChangeArrowheads="1"/>
        </xdr:cNvSpPr>
      </xdr:nvSpPr>
      <xdr:spPr>
        <a:xfrm>
          <a:off x="7934325" y="958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15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2</xdr:col>
      <xdr:colOff>0</xdr:colOff>
      <xdr:row>20</xdr:row>
      <xdr:rowOff>0</xdr:rowOff>
    </xdr:from>
    <xdr:ext cx="76200" cy="200025"/>
    <xdr:sp>
      <xdr:nvSpPr>
        <xdr:cNvPr id="20" name="Text 5"/>
        <xdr:cNvSpPr txBox="1">
          <a:spLocks noChangeArrowheads="1"/>
        </xdr:cNvSpPr>
      </xdr:nvSpPr>
      <xdr:spPr>
        <a:xfrm>
          <a:off x="2886075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23825" y="2305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3" name="Text 5"/>
        <xdr:cNvSpPr txBox="1">
          <a:spLocks noChangeArrowheads="1"/>
        </xdr:cNvSpPr>
      </xdr:nvSpPr>
      <xdr:spPr>
        <a:xfrm>
          <a:off x="7067550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00025"/>
    <xdr:sp>
      <xdr:nvSpPr>
        <xdr:cNvPr id="24" name="Text 5"/>
        <xdr:cNvSpPr txBox="1">
          <a:spLocks noChangeArrowheads="1"/>
        </xdr:cNvSpPr>
      </xdr:nvSpPr>
      <xdr:spPr>
        <a:xfrm>
          <a:off x="7067550" y="452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276225</xdr:colOff>
      <xdr:row>0</xdr:row>
      <xdr:rowOff>0</xdr:rowOff>
    </xdr:from>
    <xdr:to>
      <xdr:col>25</xdr:col>
      <xdr:colOff>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05800" y="0"/>
          <a:ext cx="247650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- 30 -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6096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Administration
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18</xdr:col>
      <xdr:colOff>0</xdr:colOff>
      <xdr:row>24</xdr:row>
      <xdr:rowOff>114300</xdr:rowOff>
    </xdr:to>
    <xdr:sp>
      <xdr:nvSpPr>
        <xdr:cNvPr id="2" name="Text 1"/>
        <xdr:cNvSpPr txBox="1">
          <a:spLocks noChangeArrowheads="1"/>
        </xdr:cNvSpPr>
      </xdr:nvSpPr>
      <xdr:spPr>
        <a:xfrm>
          <a:off x="4133850" y="38100"/>
          <a:ext cx="0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- 18 -</a:t>
          </a:r>
        </a:p>
      </xdr:txBody>
    </xdr:sp>
    <xdr:clientData/>
  </xdr:twoCellAnchor>
  <xdr:twoCellAnchor>
    <xdr:from>
      <xdr:col>24</xdr:col>
      <xdr:colOff>257175</xdr:colOff>
      <xdr:row>0</xdr:row>
      <xdr:rowOff>0</xdr:rowOff>
    </xdr:from>
    <xdr:to>
      <xdr:col>24</xdr:col>
      <xdr:colOff>561975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810625" y="0"/>
          <a:ext cx="30480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- 31 -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35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82050" y="0"/>
          <a:ext cx="238125" cy="650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- 32 -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438150</xdr:colOff>
      <xdr:row>38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0"/>
          <a:ext cx="238125" cy="627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- 33 -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\4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\5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38100</xdr:rowOff>
    </xdr:from>
    <xdr:to>
      <xdr:col>14</xdr:col>
      <xdr:colOff>0</xdr:colOff>
      <xdr:row>30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82050" y="38100"/>
          <a:ext cx="304800" cy="665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390525</xdr:colOff>
      <xdr:row>2</xdr:row>
      <xdr:rowOff>714375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314575" y="304800"/>
          <a:ext cx="3238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Deputy Head Teacher</a:t>
          </a:r>
        </a:p>
      </xdr:txBody>
    </xdr:sp>
    <xdr:clientData/>
  </xdr:twoCellAnchor>
  <xdr:twoCellAnchor>
    <xdr:from>
      <xdr:col>11</xdr:col>
      <xdr:colOff>66675</xdr:colOff>
      <xdr:row>2</xdr:row>
      <xdr:rowOff>190500</xdr:rowOff>
    </xdr:from>
    <xdr:to>
      <xdr:col>11</xdr:col>
      <xdr:colOff>390525</xdr:colOff>
      <xdr:row>2</xdr:row>
      <xdr:rowOff>742950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572250" y="466725"/>
          <a:ext cx="3238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/>
            <a:t>Modern Chinese</a:t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0</xdr:colOff>
      <xdr:row>26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9153525" y="0"/>
          <a:ext cx="381000" cy="6591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
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12</xdr:col>
      <xdr:colOff>0</xdr:colOff>
      <xdr:row>2</xdr:row>
      <xdr:rowOff>228600</xdr:rowOff>
    </xdr:to>
    <xdr:sp>
      <xdr:nvSpPr>
        <xdr:cNvPr id="4" name="Text 5"/>
        <xdr:cNvSpPr txBox="1">
          <a:spLocks noChangeArrowheads="1"/>
        </xdr:cNvSpPr>
      </xdr:nvSpPr>
      <xdr:spPr>
        <a:xfrm>
          <a:off x="3248025" y="285750"/>
          <a:ext cx="3724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</xdr:colOff>
      <xdr:row>18</xdr:row>
      <xdr:rowOff>190500</xdr:rowOff>
    </xdr:from>
    <xdr:to>
      <xdr:col>11</xdr:col>
      <xdr:colOff>400050</xdr:colOff>
      <xdr:row>18</xdr:row>
      <xdr:rowOff>723900</xdr:rowOff>
    </xdr:to>
    <xdr:sp>
      <xdr:nvSpPr>
        <xdr:cNvPr id="5" name="Text 3"/>
        <xdr:cNvSpPr txBox="1">
          <a:spLocks noChangeArrowheads="1"/>
        </xdr:cNvSpPr>
      </xdr:nvSpPr>
      <xdr:spPr>
        <a:xfrm>
          <a:off x="6572250" y="4105275"/>
          <a:ext cx="3333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/>
            <a:t>Modern Chinese</a:t>
          </a:r>
        </a:p>
      </xdr:txBody>
    </xdr:sp>
    <xdr:clientData/>
  </xdr:twoCellAnchor>
  <xdr:twoCellAnchor>
    <xdr:from>
      <xdr:col>4</xdr:col>
      <xdr:colOff>9525</xdr:colOff>
      <xdr:row>18</xdr:row>
      <xdr:rowOff>9525</xdr:rowOff>
    </xdr:from>
    <xdr:to>
      <xdr:col>12</xdr:col>
      <xdr:colOff>0</xdr:colOff>
      <xdr:row>18</xdr:row>
      <xdr:rowOff>219075</xdr:rowOff>
    </xdr:to>
    <xdr:sp>
      <xdr:nvSpPr>
        <xdr:cNvPr id="6" name="Text 5"/>
        <xdr:cNvSpPr txBox="1">
          <a:spLocks noChangeArrowheads="1"/>
        </xdr:cNvSpPr>
      </xdr:nvSpPr>
      <xdr:spPr>
        <a:xfrm>
          <a:off x="3248025" y="3924300"/>
          <a:ext cx="3724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Teacher, Oriental language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19050</xdr:rowOff>
    </xdr:from>
    <xdr:to>
      <xdr:col>2</xdr:col>
      <xdr:colOff>409575</xdr:colOff>
      <xdr:row>18</xdr:row>
      <xdr:rowOff>704850</xdr:rowOff>
    </xdr:to>
    <xdr:sp>
      <xdr:nvSpPr>
        <xdr:cNvPr id="7" name="Text 1"/>
        <xdr:cNvSpPr txBox="1">
          <a:spLocks noChangeArrowheads="1"/>
        </xdr:cNvSpPr>
      </xdr:nvSpPr>
      <xdr:spPr>
        <a:xfrm>
          <a:off x="2295525" y="3933825"/>
          <a:ext cx="36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Deputy Head Teacher</a:t>
          </a:r>
        </a:p>
      </xdr:txBody>
    </xdr:sp>
    <xdr:clientData/>
  </xdr:twoCellAnchor>
  <xdr:twoCellAnchor>
    <xdr:from>
      <xdr:col>3</xdr:col>
      <xdr:colOff>66675</xdr:colOff>
      <xdr:row>18</xdr:row>
      <xdr:rowOff>19050</xdr:rowOff>
    </xdr:from>
    <xdr:to>
      <xdr:col>3</xdr:col>
      <xdr:colOff>514350</xdr:colOff>
      <xdr:row>18</xdr:row>
      <xdr:rowOff>723900</xdr:rowOff>
    </xdr:to>
    <xdr:sp>
      <xdr:nvSpPr>
        <xdr:cNvPr id="8" name="Text 2"/>
        <xdr:cNvSpPr txBox="1">
          <a:spLocks noChangeArrowheads="1"/>
        </xdr:cNvSpPr>
      </xdr:nvSpPr>
      <xdr:spPr>
        <a:xfrm>
          <a:off x="2743200" y="3933825"/>
          <a:ext cx="4476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Teacher General
Purpose *</a:t>
          </a:r>
        </a:p>
      </xdr:txBody>
    </xdr:sp>
    <xdr:clientData/>
  </xdr:twoCellAnchor>
  <xdr:twoCellAnchor>
    <xdr:from>
      <xdr:col>3</xdr:col>
      <xdr:colOff>57150</xdr:colOff>
      <xdr:row>2</xdr:row>
      <xdr:rowOff>19050</xdr:rowOff>
    </xdr:from>
    <xdr:to>
      <xdr:col>3</xdr:col>
      <xdr:colOff>523875</xdr:colOff>
      <xdr:row>2</xdr:row>
      <xdr:rowOff>723900</xdr:rowOff>
    </xdr:to>
    <xdr:sp>
      <xdr:nvSpPr>
        <xdr:cNvPr id="9" name="Text 2"/>
        <xdr:cNvSpPr txBox="1">
          <a:spLocks noChangeArrowheads="1"/>
        </xdr:cNvSpPr>
      </xdr:nvSpPr>
      <xdr:spPr>
        <a:xfrm>
          <a:off x="2733675" y="295275"/>
          <a:ext cx="4667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900" b="0" i="0" u="none" baseline="0"/>
            <a:t>Teacher General
Purpose 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0" y="5810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Administration
</a:t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12</xdr:col>
      <xdr:colOff>0</xdr:colOff>
      <xdr:row>14</xdr:row>
      <xdr:rowOff>190500</xdr:rowOff>
    </xdr:to>
    <xdr:sp>
      <xdr:nvSpPr>
        <xdr:cNvPr id="2" name="Text 1"/>
        <xdr:cNvSpPr txBox="1">
          <a:spLocks noChangeArrowheads="1"/>
        </xdr:cNvSpPr>
      </xdr:nvSpPr>
      <xdr:spPr>
        <a:xfrm>
          <a:off x="6591300" y="28575"/>
          <a:ext cx="0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- 13 -</a:t>
          </a:r>
        </a:p>
      </xdr:txBody>
    </xdr:sp>
    <xdr:clientData/>
  </xdr:twoCellAnchor>
  <xdr:twoCellAnchor>
    <xdr:from>
      <xdr:col>15</xdr:col>
      <xdr:colOff>247650</xdr:colOff>
      <xdr:row>0</xdr:row>
      <xdr:rowOff>28575</xdr:rowOff>
    </xdr:from>
    <xdr:to>
      <xdr:col>15</xdr:col>
      <xdr:colOff>561975</xdr:colOff>
      <xdr:row>14</xdr:row>
      <xdr:rowOff>190500</xdr:rowOff>
    </xdr:to>
    <xdr:sp>
      <xdr:nvSpPr>
        <xdr:cNvPr id="3" name="Text 1"/>
        <xdr:cNvSpPr txBox="1">
          <a:spLocks noChangeArrowheads="1"/>
        </xdr:cNvSpPr>
      </xdr:nvSpPr>
      <xdr:spPr>
        <a:xfrm>
          <a:off x="8667750" y="28575"/>
          <a:ext cx="314325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0</xdr:rowOff>
    </xdr:from>
    <xdr:to>
      <xdr:col>11</xdr:col>
      <xdr:colOff>561975</xdr:colOff>
      <xdr:row>24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0"/>
          <a:ext cx="266700" cy="647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- 18 -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0</xdr:row>
      <xdr:rowOff>28575</xdr:rowOff>
    </xdr:from>
    <xdr:to>
      <xdr:col>14</xdr:col>
      <xdr:colOff>0</xdr:colOff>
      <xdr:row>32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28575"/>
          <a:ext cx="304800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14</xdr:col>
      <xdr:colOff>581025</xdr:colOff>
      <xdr:row>29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0"/>
          <a:ext cx="323850" cy="625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- 26 -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238125</xdr:colOff>
      <xdr:row>26</xdr:row>
      <xdr:rowOff>228600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820150" y="0"/>
          <a:ext cx="304800" cy="649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- 29 -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-Analysis%2006\Secondary-Comp-analysis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land"/>
      <sheetName val="Rodrigues"/>
      <sheetName val="Republic"/>
      <sheetName val="Pop"/>
    </sheetNames>
    <sheetDataSet>
      <sheetData sheetId="2">
        <row r="39">
          <cell r="G39">
            <v>105988</v>
          </cell>
          <cell r="H39">
            <v>110287</v>
          </cell>
          <cell r="I39">
            <v>114657</v>
          </cell>
        </row>
        <row r="55">
          <cell r="G55">
            <v>8488</v>
          </cell>
          <cell r="H55">
            <v>9845</v>
          </cell>
          <cell r="I55">
            <v>10424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7109375" style="2" customWidth="1"/>
    <col min="2" max="6" width="9.140625" style="2" customWidth="1"/>
    <col min="7" max="7" width="8.8515625" style="2" customWidth="1"/>
    <col min="8" max="8" width="30.00390625" style="2" customWidth="1"/>
    <col min="9" max="9" width="7.57421875" style="2" customWidth="1"/>
    <col min="10" max="16384" width="9.140625" style="2" customWidth="1"/>
  </cols>
  <sheetData>
    <row r="1" spans="1:9" ht="25.5" customHeight="1">
      <c r="A1" s="1255" t="s">
        <v>422</v>
      </c>
      <c r="B1" s="1255"/>
      <c r="C1" s="1255"/>
      <c r="D1" s="1255"/>
      <c r="E1" s="1255"/>
      <c r="F1" s="1255"/>
      <c r="G1" s="1255"/>
      <c r="H1" s="1255"/>
      <c r="I1" s="1255"/>
    </row>
    <row r="2" spans="1:8" ht="11.25" customHeight="1">
      <c r="A2" s="1256"/>
      <c r="B2" s="1256"/>
      <c r="C2" s="1256"/>
      <c r="D2" s="1256"/>
      <c r="E2" s="1256"/>
      <c r="F2" s="1256"/>
      <c r="G2" s="1256"/>
      <c r="H2" s="1256"/>
    </row>
    <row r="3" spans="1:8" ht="21" customHeight="1">
      <c r="A3" s="1256"/>
      <c r="B3" s="1256"/>
      <c r="C3" s="1256"/>
      <c r="D3" s="1256"/>
      <c r="E3" s="1256"/>
      <c r="F3" s="1256"/>
      <c r="G3" s="1256"/>
      <c r="H3" s="1256"/>
    </row>
    <row r="4" spans="2:9" ht="27.75" customHeight="1">
      <c r="B4" s="1250"/>
      <c r="C4" s="1250"/>
      <c r="D4" s="1250"/>
      <c r="E4" s="1250"/>
      <c r="F4" s="1250"/>
      <c r="G4" s="1250"/>
      <c r="H4" s="1250"/>
      <c r="I4" s="1154" t="s">
        <v>299</v>
      </c>
    </row>
    <row r="5" spans="1:8" ht="15" customHeight="1">
      <c r="A5" s="1154"/>
      <c r="B5" s="1257"/>
      <c r="C5" s="1257"/>
      <c r="D5" s="1257"/>
      <c r="E5" s="1257"/>
      <c r="F5" s="1257"/>
      <c r="G5" s="1257"/>
      <c r="H5" s="1257"/>
    </row>
    <row r="6" spans="1:8" ht="21" customHeight="1">
      <c r="A6" s="1156"/>
      <c r="B6" s="1256" t="s">
        <v>424</v>
      </c>
      <c r="C6" s="1256"/>
      <c r="D6" s="1256"/>
      <c r="E6" s="1256"/>
      <c r="F6" s="1256"/>
      <c r="G6" s="1256"/>
      <c r="H6" s="1256"/>
    </row>
    <row r="7" spans="1:9" ht="21" customHeight="1">
      <c r="A7" s="1157" t="s">
        <v>300</v>
      </c>
      <c r="B7" s="1250" t="s">
        <v>423</v>
      </c>
      <c r="C7" s="1250"/>
      <c r="D7" s="1250"/>
      <c r="E7" s="1250"/>
      <c r="F7" s="1250"/>
      <c r="G7" s="1250"/>
      <c r="H7" s="1250"/>
      <c r="I7" s="1">
        <v>7</v>
      </c>
    </row>
    <row r="8" spans="1:8" ht="21" customHeight="1">
      <c r="A8" s="1154"/>
      <c r="B8" s="1250"/>
      <c r="C8" s="1250"/>
      <c r="D8" s="1250"/>
      <c r="E8" s="1250"/>
      <c r="F8" s="1250"/>
      <c r="G8" s="1250"/>
      <c r="H8" s="1250"/>
    </row>
    <row r="9" spans="1:8" ht="21" customHeight="1">
      <c r="A9" s="1156"/>
      <c r="B9" s="1256" t="s">
        <v>301</v>
      </c>
      <c r="C9" s="1256"/>
      <c r="D9" s="1256"/>
      <c r="E9" s="1256"/>
      <c r="F9" s="1256"/>
      <c r="G9" s="1256"/>
      <c r="H9" s="1256"/>
    </row>
    <row r="10" spans="1:9" ht="21" customHeight="1">
      <c r="A10" s="1155">
        <v>2.1</v>
      </c>
      <c r="B10" s="1250" t="s">
        <v>384</v>
      </c>
      <c r="C10" s="1250"/>
      <c r="D10" s="1250"/>
      <c r="E10" s="1250"/>
      <c r="F10" s="1250"/>
      <c r="G10" s="1250"/>
      <c r="H10" s="1250"/>
      <c r="I10" s="1">
        <v>8</v>
      </c>
    </row>
    <row r="11" spans="1:9" ht="21" customHeight="1">
      <c r="A11" s="1155">
        <v>2.2</v>
      </c>
      <c r="B11" s="1250" t="s">
        <v>302</v>
      </c>
      <c r="C11" s="1250"/>
      <c r="D11" s="1250"/>
      <c r="E11" s="1250"/>
      <c r="F11" s="1250"/>
      <c r="G11" s="1250"/>
      <c r="H11" s="1250"/>
      <c r="I11" s="1">
        <v>8</v>
      </c>
    </row>
    <row r="12" spans="1:9" ht="21" customHeight="1">
      <c r="A12" s="1158"/>
      <c r="B12" s="1250"/>
      <c r="C12" s="1250"/>
      <c r="D12" s="1250"/>
      <c r="E12" s="1250"/>
      <c r="F12" s="1250"/>
      <c r="G12" s="1250"/>
      <c r="H12" s="1250"/>
      <c r="I12" s="1"/>
    </row>
    <row r="13" spans="1:9" ht="21" customHeight="1">
      <c r="A13" s="1156"/>
      <c r="B13" s="1252" t="s">
        <v>303</v>
      </c>
      <c r="C13" s="1253"/>
      <c r="D13" s="1253"/>
      <c r="E13" s="1253"/>
      <c r="F13" s="1253"/>
      <c r="G13" s="1253"/>
      <c r="H13" s="1253"/>
      <c r="I13" s="1"/>
    </row>
    <row r="14" spans="1:9" ht="21" customHeight="1">
      <c r="A14" s="1157" t="s">
        <v>304</v>
      </c>
      <c r="B14" s="2" t="s">
        <v>305</v>
      </c>
      <c r="I14" s="1">
        <v>9</v>
      </c>
    </row>
    <row r="15" spans="1:9" ht="21" customHeight="1">
      <c r="A15" s="1157" t="s">
        <v>306</v>
      </c>
      <c r="B15" s="2" t="s">
        <v>307</v>
      </c>
      <c r="I15" s="1">
        <v>9</v>
      </c>
    </row>
    <row r="16" spans="1:9" ht="21" customHeight="1">
      <c r="A16" s="1157" t="s">
        <v>308</v>
      </c>
      <c r="B16" s="2" t="s">
        <v>382</v>
      </c>
      <c r="I16" s="1">
        <v>10</v>
      </c>
    </row>
    <row r="17" spans="1:9" ht="21" customHeight="1">
      <c r="A17" s="1157" t="s">
        <v>309</v>
      </c>
      <c r="B17" s="1254" t="s">
        <v>383</v>
      </c>
      <c r="C17" s="1254"/>
      <c r="D17" s="1254"/>
      <c r="E17" s="1254"/>
      <c r="F17" s="1254"/>
      <c r="G17" s="1254"/>
      <c r="H17" s="1254"/>
      <c r="I17" s="1">
        <v>10</v>
      </c>
    </row>
    <row r="18" spans="1:9" ht="21" customHeight="1">
      <c r="A18" s="1155"/>
      <c r="B18" s="3"/>
      <c r="C18" s="3"/>
      <c r="D18" s="3"/>
      <c r="E18" s="3"/>
      <c r="F18" s="3"/>
      <c r="G18" s="3"/>
      <c r="H18" s="3"/>
      <c r="I18" s="1"/>
    </row>
    <row r="19" spans="1:9" ht="21" customHeight="1">
      <c r="A19" s="1156"/>
      <c r="B19" s="1252" t="s">
        <v>310</v>
      </c>
      <c r="C19" s="1253"/>
      <c r="D19" s="1253"/>
      <c r="E19" s="1253"/>
      <c r="F19" s="1253"/>
      <c r="G19" s="1253"/>
      <c r="H19" s="1253"/>
      <c r="I19" s="1"/>
    </row>
    <row r="20" spans="1:9" ht="21" customHeight="1">
      <c r="A20" s="1157" t="s">
        <v>311</v>
      </c>
      <c r="B20" s="2" t="s">
        <v>312</v>
      </c>
      <c r="I20" s="1">
        <v>11</v>
      </c>
    </row>
    <row r="21" spans="1:9" ht="21" customHeight="1">
      <c r="A21" s="1155">
        <v>4.2</v>
      </c>
      <c r="B21" s="2" t="s">
        <v>313</v>
      </c>
      <c r="I21" s="1">
        <v>11</v>
      </c>
    </row>
    <row r="22" spans="1:9" ht="21" customHeight="1">
      <c r="A22" s="377">
        <v>4.3</v>
      </c>
      <c r="B22" s="2" t="s">
        <v>314</v>
      </c>
      <c r="H22" s="1155"/>
      <c r="I22" s="1">
        <v>12</v>
      </c>
    </row>
    <row r="23" spans="1:9" ht="21" customHeight="1">
      <c r="A23" s="1157" t="s">
        <v>315</v>
      </c>
      <c r="B23" s="2" t="s">
        <v>316</v>
      </c>
      <c r="I23" s="1">
        <v>12</v>
      </c>
    </row>
    <row r="24" spans="1:9" ht="21" customHeight="1">
      <c r="A24" s="1157" t="s">
        <v>317</v>
      </c>
      <c r="B24" s="1254" t="s">
        <v>318</v>
      </c>
      <c r="C24" s="1254"/>
      <c r="D24" s="1254"/>
      <c r="E24" s="1254"/>
      <c r="F24" s="1254"/>
      <c r="G24" s="1254"/>
      <c r="H24" s="1254"/>
      <c r="I24" s="1">
        <v>13</v>
      </c>
    </row>
    <row r="25" spans="1:9" ht="21" customHeight="1">
      <c r="A25" s="1157" t="s">
        <v>319</v>
      </c>
      <c r="B25" s="1254" t="s">
        <v>320</v>
      </c>
      <c r="C25" s="1254"/>
      <c r="D25" s="1254"/>
      <c r="E25" s="1254"/>
      <c r="F25" s="1254"/>
      <c r="G25" s="1254"/>
      <c r="H25" s="1254"/>
      <c r="I25" s="1">
        <v>13</v>
      </c>
    </row>
    <row r="26" spans="1:9" ht="21" customHeight="1">
      <c r="A26" s="1155">
        <v>4.7</v>
      </c>
      <c r="B26" s="1254" t="s">
        <v>321</v>
      </c>
      <c r="C26" s="1254"/>
      <c r="D26" s="1254"/>
      <c r="E26" s="1254"/>
      <c r="F26" s="1254"/>
      <c r="G26" s="1254"/>
      <c r="H26" s="1254"/>
      <c r="I26" s="1">
        <v>14</v>
      </c>
    </row>
    <row r="27" spans="1:9" ht="21" customHeight="1">
      <c r="A27" s="377">
        <v>4.8</v>
      </c>
      <c r="B27" s="1249" t="s">
        <v>429</v>
      </c>
      <c r="C27" s="1249"/>
      <c r="D27" s="1249"/>
      <c r="E27" s="1249"/>
      <c r="F27" s="1249"/>
      <c r="G27" s="1249"/>
      <c r="H27" s="1249"/>
      <c r="I27" s="1">
        <v>15</v>
      </c>
    </row>
    <row r="28" spans="1:9" ht="21" customHeight="1">
      <c r="A28" s="377"/>
      <c r="B28" s="1249" t="s">
        <v>109</v>
      </c>
      <c r="C28" s="1249"/>
      <c r="D28" s="1249"/>
      <c r="E28" s="1159"/>
      <c r="F28" s="1159"/>
      <c r="G28" s="1159"/>
      <c r="H28" s="1159"/>
      <c r="I28" s="1"/>
    </row>
    <row r="29" spans="1:9" ht="21" customHeight="1">
      <c r="A29" s="377">
        <v>4.9</v>
      </c>
      <c r="B29" s="1249" t="s">
        <v>322</v>
      </c>
      <c r="C29" s="1249"/>
      <c r="D29" s="1249"/>
      <c r="E29" s="1249"/>
      <c r="F29" s="1249"/>
      <c r="G29" s="1249"/>
      <c r="H29" s="1249"/>
      <c r="I29" s="1">
        <v>16</v>
      </c>
    </row>
    <row r="30" spans="1:9" ht="21" customHeight="1">
      <c r="A30" s="1157" t="s">
        <v>323</v>
      </c>
      <c r="B30" s="1254" t="s">
        <v>324</v>
      </c>
      <c r="C30" s="1254"/>
      <c r="D30" s="1254"/>
      <c r="E30" s="1254"/>
      <c r="F30" s="1254"/>
      <c r="G30" s="1254"/>
      <c r="H30" s="1254"/>
      <c r="I30" s="1">
        <v>16</v>
      </c>
    </row>
    <row r="31" spans="1:9" ht="21" customHeight="1">
      <c r="A31" s="1155">
        <v>4.11</v>
      </c>
      <c r="B31" s="2" t="s">
        <v>325</v>
      </c>
      <c r="G31" s="1155"/>
      <c r="I31" s="1">
        <v>17</v>
      </c>
    </row>
    <row r="32" spans="1:9" ht="21" customHeight="1">
      <c r="A32" s="1160">
        <v>4.12</v>
      </c>
      <c r="B32" s="2" t="s">
        <v>326</v>
      </c>
      <c r="I32" s="1">
        <v>18</v>
      </c>
    </row>
    <row r="33" spans="1:9" ht="21" customHeight="1">
      <c r="A33" s="1155"/>
      <c r="I33" s="1"/>
    </row>
    <row r="34" spans="1:9" ht="30.75" customHeight="1">
      <c r="A34" s="1155"/>
      <c r="I34" s="1"/>
    </row>
    <row r="35" spans="1:9" ht="21" customHeight="1">
      <c r="A35" s="1156"/>
      <c r="B35" s="1252" t="s">
        <v>327</v>
      </c>
      <c r="C35" s="1253"/>
      <c r="D35" s="1253"/>
      <c r="E35" s="1253"/>
      <c r="F35" s="1253"/>
      <c r="G35" s="1253"/>
      <c r="H35" s="1253"/>
      <c r="I35" s="1"/>
    </row>
    <row r="36" spans="1:9" ht="21" customHeight="1">
      <c r="A36" s="1157" t="s">
        <v>328</v>
      </c>
      <c r="B36" s="2" t="s">
        <v>329</v>
      </c>
      <c r="I36" s="1">
        <v>19</v>
      </c>
    </row>
    <row r="37" spans="1:9" ht="21" customHeight="1">
      <c r="A37" s="1155">
        <v>5.2</v>
      </c>
      <c r="B37" s="1250" t="s">
        <v>330</v>
      </c>
      <c r="C37" s="1250"/>
      <c r="D37" s="1250"/>
      <c r="E37" s="1250"/>
      <c r="F37" s="1250"/>
      <c r="G37" s="1250"/>
      <c r="H37" s="1250"/>
      <c r="I37" s="1">
        <v>19</v>
      </c>
    </row>
    <row r="38" spans="1:9" ht="21" customHeight="1">
      <c r="A38" s="377">
        <v>5.3</v>
      </c>
      <c r="B38" s="1249" t="s">
        <v>331</v>
      </c>
      <c r="C38" s="1249"/>
      <c r="D38" s="1249"/>
      <c r="E38" s="1249"/>
      <c r="F38" s="1249"/>
      <c r="G38" s="1249"/>
      <c r="H38" s="1249"/>
      <c r="I38" s="1">
        <v>20</v>
      </c>
    </row>
    <row r="39" spans="1:9" ht="21" customHeight="1">
      <c r="A39" s="1157" t="s">
        <v>332</v>
      </c>
      <c r="B39" s="2" t="s">
        <v>333</v>
      </c>
      <c r="I39" s="1">
        <v>20</v>
      </c>
    </row>
    <row r="40" spans="1:9" ht="21" customHeight="1">
      <c r="A40" s="1157" t="s">
        <v>334</v>
      </c>
      <c r="B40" s="2" t="s">
        <v>335</v>
      </c>
      <c r="I40" s="1">
        <v>21</v>
      </c>
    </row>
    <row r="41" spans="1:9" ht="21" customHeight="1">
      <c r="A41" s="1157" t="s">
        <v>336</v>
      </c>
      <c r="B41" s="2" t="s">
        <v>337</v>
      </c>
      <c r="I41" s="1">
        <v>21</v>
      </c>
    </row>
    <row r="42" spans="1:9" ht="21" customHeight="1">
      <c r="A42" s="1155">
        <v>5.7</v>
      </c>
      <c r="B42" s="1250" t="s">
        <v>338</v>
      </c>
      <c r="C42" s="1250"/>
      <c r="D42" s="1250"/>
      <c r="E42" s="1250"/>
      <c r="F42" s="1250"/>
      <c r="G42" s="1250"/>
      <c r="H42" s="1250"/>
      <c r="I42" s="1">
        <v>22</v>
      </c>
    </row>
    <row r="43" spans="1:8" ht="21" customHeight="1">
      <c r="A43" s="377">
        <v>5.8</v>
      </c>
      <c r="B43" s="1249" t="s">
        <v>339</v>
      </c>
      <c r="C43" s="1249"/>
      <c r="D43" s="1249"/>
      <c r="E43" s="1249"/>
      <c r="F43" s="1249"/>
      <c r="G43" s="1249"/>
      <c r="H43" s="1249"/>
    </row>
    <row r="44" spans="1:9" ht="21" customHeight="1">
      <c r="A44" s="1158"/>
      <c r="B44" s="1250" t="s">
        <v>340</v>
      </c>
      <c r="C44" s="1250"/>
      <c r="D44" s="1250"/>
      <c r="E44" s="1250"/>
      <c r="F44" s="1250"/>
      <c r="G44" s="1250"/>
      <c r="H44" s="1250"/>
      <c r="I44" s="1">
        <v>23</v>
      </c>
    </row>
    <row r="45" spans="1:9" ht="21" customHeight="1">
      <c r="A45" s="377">
        <v>5.9</v>
      </c>
      <c r="B45" s="1249" t="s">
        <v>341</v>
      </c>
      <c r="C45" s="1249"/>
      <c r="D45" s="1249"/>
      <c r="E45" s="1249"/>
      <c r="F45" s="1249"/>
      <c r="G45" s="1249"/>
      <c r="H45" s="1249"/>
      <c r="I45" s="1">
        <v>24</v>
      </c>
    </row>
    <row r="46" spans="1:9" ht="21" customHeight="1">
      <c r="A46" s="1157" t="s">
        <v>342</v>
      </c>
      <c r="B46" s="2" t="s">
        <v>343</v>
      </c>
      <c r="I46" s="1">
        <v>24</v>
      </c>
    </row>
    <row r="47" spans="1:9" ht="21" customHeight="1">
      <c r="A47" s="377">
        <v>5.11</v>
      </c>
      <c r="B47" s="1249" t="s">
        <v>434</v>
      </c>
      <c r="C47" s="1249"/>
      <c r="D47" s="1249"/>
      <c r="E47" s="1249"/>
      <c r="F47" s="1249"/>
      <c r="G47" s="1249"/>
      <c r="H47" s="1249"/>
      <c r="I47" s="1">
        <v>25</v>
      </c>
    </row>
    <row r="48" spans="1:9" ht="21" customHeight="1">
      <c r="A48" s="1197"/>
      <c r="B48" s="1249" t="s">
        <v>435</v>
      </c>
      <c r="C48" s="1249"/>
      <c r="D48" s="1249"/>
      <c r="E48" s="1159"/>
      <c r="F48" s="1159"/>
      <c r="G48" s="1159"/>
      <c r="H48" s="1159"/>
      <c r="I48" s="1"/>
    </row>
    <row r="49" spans="1:9" ht="21" customHeight="1">
      <c r="A49" s="1160">
        <v>5.12</v>
      </c>
      <c r="B49" s="1249" t="s">
        <v>344</v>
      </c>
      <c r="C49" s="1249"/>
      <c r="D49" s="1249"/>
      <c r="E49" s="1249"/>
      <c r="F49" s="1249"/>
      <c r="G49" s="1249"/>
      <c r="H49" s="1249"/>
      <c r="I49" s="1">
        <v>25</v>
      </c>
    </row>
    <row r="50" spans="1:9" ht="21" customHeight="1">
      <c r="A50" s="1161" t="s">
        <v>345</v>
      </c>
      <c r="B50" s="1251" t="s">
        <v>346</v>
      </c>
      <c r="C50" s="1251"/>
      <c r="D50" s="1251"/>
      <c r="E50" s="1251"/>
      <c r="F50" s="1251"/>
      <c r="G50" s="1251"/>
      <c r="H50" s="1251"/>
      <c r="I50" s="1162">
        <v>26</v>
      </c>
    </row>
    <row r="51" spans="1:9" ht="21" customHeight="1">
      <c r="A51" s="1157" t="s">
        <v>347</v>
      </c>
      <c r="B51" s="1250" t="s">
        <v>348</v>
      </c>
      <c r="C51" s="1250"/>
      <c r="D51" s="1250"/>
      <c r="E51" s="1250"/>
      <c r="F51" s="1250"/>
      <c r="G51" s="1250"/>
      <c r="H51" s="1250"/>
      <c r="I51" s="1">
        <v>26</v>
      </c>
    </row>
    <row r="52" spans="1:9" ht="21" customHeight="1">
      <c r="A52" s="1157" t="s">
        <v>349</v>
      </c>
      <c r="B52" s="1250" t="s">
        <v>350</v>
      </c>
      <c r="C52" s="1250"/>
      <c r="D52" s="1250"/>
      <c r="E52" s="1250"/>
      <c r="F52" s="1250"/>
      <c r="G52" s="1250"/>
      <c r="H52" s="1250"/>
      <c r="I52" s="1">
        <v>27</v>
      </c>
    </row>
    <row r="53" spans="1:8" ht="21" customHeight="1">
      <c r="A53" s="1157" t="s">
        <v>351</v>
      </c>
      <c r="B53" s="1250" t="s">
        <v>352</v>
      </c>
      <c r="C53" s="1250"/>
      <c r="D53" s="1250"/>
      <c r="E53" s="1250"/>
      <c r="F53" s="1250"/>
      <c r="G53" s="1250"/>
      <c r="H53" s="1250"/>
    </row>
    <row r="54" spans="1:9" ht="21" customHeight="1">
      <c r="A54" s="1157"/>
      <c r="B54" s="1155" t="s">
        <v>340</v>
      </c>
      <c r="C54" s="1155"/>
      <c r="D54" s="1155"/>
      <c r="E54" s="1155"/>
      <c r="F54" s="1155"/>
      <c r="G54" s="1155"/>
      <c r="H54" s="1155"/>
      <c r="I54" s="1">
        <v>28</v>
      </c>
    </row>
    <row r="55" spans="1:9" ht="21" customHeight="1">
      <c r="A55" s="1157" t="s">
        <v>353</v>
      </c>
      <c r="B55" s="2" t="s">
        <v>354</v>
      </c>
      <c r="I55" s="1">
        <v>29</v>
      </c>
    </row>
    <row r="56" spans="1:9" ht="21" customHeight="1">
      <c r="A56" s="1157" t="s">
        <v>355</v>
      </c>
      <c r="B56" s="2" t="s">
        <v>356</v>
      </c>
      <c r="I56" s="1">
        <v>29</v>
      </c>
    </row>
    <row r="57" spans="1:8" ht="21" customHeight="1">
      <c r="A57" s="1198" t="s">
        <v>357</v>
      </c>
      <c r="B57" s="1249" t="s">
        <v>430</v>
      </c>
      <c r="C57" s="1249"/>
      <c r="D57" s="1249"/>
      <c r="E57" s="1249"/>
      <c r="F57" s="1249"/>
      <c r="G57" s="1249"/>
      <c r="H57" s="1249"/>
    </row>
    <row r="58" spans="1:9" ht="21" customHeight="1">
      <c r="A58" s="1198"/>
      <c r="B58" s="1249" t="s">
        <v>431</v>
      </c>
      <c r="C58" s="1249"/>
      <c r="D58" s="1159"/>
      <c r="E58" s="1159"/>
      <c r="F58" s="1159"/>
      <c r="G58" s="1159"/>
      <c r="H58" s="1159"/>
      <c r="I58" s="1">
        <v>30</v>
      </c>
    </row>
    <row r="59" spans="1:8" s="3" customFormat="1" ht="21" customHeight="1">
      <c r="A59" s="1198" t="s">
        <v>358</v>
      </c>
      <c r="B59" s="1249" t="s">
        <v>432</v>
      </c>
      <c r="C59" s="1249"/>
      <c r="D59" s="1249"/>
      <c r="E59" s="1249"/>
      <c r="F59" s="1249"/>
      <c r="G59" s="1249"/>
      <c r="H59" s="1249"/>
    </row>
    <row r="60" spans="1:9" s="3" customFormat="1" ht="21" customHeight="1">
      <c r="A60" s="1198"/>
      <c r="B60" s="1249" t="s">
        <v>433</v>
      </c>
      <c r="C60" s="1249"/>
      <c r="D60" s="1249"/>
      <c r="E60" s="1159"/>
      <c r="F60" s="1159"/>
      <c r="G60" s="1159"/>
      <c r="H60" s="1159"/>
      <c r="I60" s="1">
        <v>31</v>
      </c>
    </row>
    <row r="61" spans="1:9" s="3" customFormat="1" ht="21" customHeight="1">
      <c r="A61" s="1198"/>
      <c r="B61" s="1159"/>
      <c r="C61" s="1159"/>
      <c r="D61" s="1159"/>
      <c r="E61" s="1159"/>
      <c r="F61" s="1159"/>
      <c r="G61" s="1159"/>
      <c r="H61" s="1159"/>
      <c r="I61" s="1"/>
    </row>
    <row r="62" spans="1:9" ht="21" customHeight="1">
      <c r="A62" s="1156"/>
      <c r="B62" s="1248" t="s">
        <v>359</v>
      </c>
      <c r="C62" s="1248"/>
      <c r="D62" s="1248"/>
      <c r="E62" s="1248"/>
      <c r="F62" s="1248"/>
      <c r="G62" s="1248"/>
      <c r="H62" s="1248"/>
      <c r="I62" s="1"/>
    </row>
    <row r="63" spans="1:8" ht="21" customHeight="1">
      <c r="A63" s="1159" t="s">
        <v>360</v>
      </c>
      <c r="B63" s="1249" t="s">
        <v>361</v>
      </c>
      <c r="C63" s="1249"/>
      <c r="D63" s="1249"/>
      <c r="E63" s="1249"/>
      <c r="F63" s="1249"/>
      <c r="G63" s="1249"/>
      <c r="H63" s="1249"/>
    </row>
    <row r="64" spans="1:9" ht="21" customHeight="1">
      <c r="A64" s="1163"/>
      <c r="B64" s="1247" t="s">
        <v>362</v>
      </c>
      <c r="C64" s="1247"/>
      <c r="D64" s="1247"/>
      <c r="E64" s="1247"/>
      <c r="F64" s="1247"/>
      <c r="G64" s="1247"/>
      <c r="H64" s="1247"/>
      <c r="I64" s="1">
        <v>32</v>
      </c>
    </row>
    <row r="65" spans="1:9" ht="21" customHeight="1">
      <c r="A65" s="1159" t="s">
        <v>363</v>
      </c>
      <c r="B65" s="1249" t="s">
        <v>361</v>
      </c>
      <c r="C65" s="1249"/>
      <c r="D65" s="1249"/>
      <c r="E65" s="1249"/>
      <c r="F65" s="1249"/>
      <c r="G65" s="1249"/>
      <c r="H65" s="1249"/>
      <c r="I65" s="3"/>
    </row>
    <row r="66" spans="1:9" ht="21" customHeight="1">
      <c r="A66" s="1163"/>
      <c r="B66" s="1247" t="s">
        <v>364</v>
      </c>
      <c r="C66" s="1247"/>
      <c r="D66" s="1247"/>
      <c r="E66" s="1247"/>
      <c r="F66" s="1247"/>
      <c r="G66" s="1247"/>
      <c r="H66" s="1247"/>
      <c r="I66" s="1">
        <v>33</v>
      </c>
    </row>
    <row r="67" spans="1:9" ht="21" customHeight="1">
      <c r="A67" s="1157"/>
      <c r="I67" s="1"/>
    </row>
    <row r="68" spans="1:9" ht="21" customHeight="1">
      <c r="A68" s="1157"/>
      <c r="B68" s="12"/>
      <c r="I68" s="1"/>
    </row>
    <row r="69" ht="14.25" customHeight="1">
      <c r="I69" s="1"/>
    </row>
    <row r="70" spans="1:9" ht="21" customHeight="1">
      <c r="A70" s="1157"/>
      <c r="I70" s="1"/>
    </row>
    <row r="71" ht="14.25" customHeight="1">
      <c r="I71" s="1"/>
    </row>
    <row r="72" spans="1:9" ht="21" customHeight="1">
      <c r="A72" s="1157"/>
      <c r="I72" s="1"/>
    </row>
    <row r="73" ht="14.25" customHeight="1">
      <c r="I73" s="1"/>
    </row>
    <row r="74" spans="1:9" ht="21" customHeight="1">
      <c r="A74" s="1157"/>
      <c r="I74" s="1"/>
    </row>
    <row r="75" spans="1:9" ht="21" customHeight="1">
      <c r="A75" s="1157"/>
      <c r="I75" s="1"/>
    </row>
    <row r="76" spans="1:9" ht="21" customHeight="1">
      <c r="A76" s="1157"/>
      <c r="I76" s="1"/>
    </row>
    <row r="77" spans="1:9" ht="21" customHeight="1">
      <c r="A77" s="1157"/>
      <c r="I77" s="1"/>
    </row>
    <row r="78" spans="1:9" ht="21" customHeight="1">
      <c r="A78" s="1157"/>
      <c r="I78" s="1"/>
    </row>
    <row r="79" ht="14.25" customHeight="1">
      <c r="I79" s="1"/>
    </row>
    <row r="80" spans="1:9" ht="21" customHeight="1">
      <c r="A80" s="1157"/>
      <c r="I80" s="1"/>
    </row>
    <row r="81" ht="14.25" customHeight="1">
      <c r="I81" s="1"/>
    </row>
    <row r="82" spans="1:9" ht="21" customHeight="1">
      <c r="A82" s="1157"/>
      <c r="I82" s="1"/>
    </row>
    <row r="83" ht="14.25" customHeight="1">
      <c r="I83" s="1"/>
    </row>
    <row r="84" spans="1:9" ht="21" customHeight="1">
      <c r="A84" s="1157"/>
      <c r="I84" s="1"/>
    </row>
    <row r="85" spans="1:9" ht="14.25" customHeight="1">
      <c r="A85" s="1157"/>
      <c r="I85" s="1"/>
    </row>
    <row r="86" spans="1:9" ht="21.75" customHeight="1">
      <c r="A86" s="1157"/>
      <c r="I86" s="1"/>
    </row>
    <row r="87" spans="1:9" ht="21.75" customHeight="1">
      <c r="A87" s="1157"/>
      <c r="I87" s="1"/>
    </row>
    <row r="88" ht="14.25" customHeight="1">
      <c r="I88" s="1"/>
    </row>
    <row r="89" spans="1:9" ht="21" customHeight="1">
      <c r="A89" s="1157"/>
      <c r="I89" s="1"/>
    </row>
    <row r="90" spans="1:9" ht="14.25" customHeight="1">
      <c r="A90" s="1157"/>
      <c r="I90" s="1"/>
    </row>
    <row r="91" spans="1:9" ht="21" customHeight="1">
      <c r="A91" s="1157"/>
      <c r="I91" s="1"/>
    </row>
    <row r="92" ht="14.25" customHeight="1">
      <c r="I92" s="1"/>
    </row>
    <row r="93" spans="1:9" ht="21.75" customHeight="1">
      <c r="A93" s="1157"/>
      <c r="I93" s="1"/>
    </row>
    <row r="94" ht="21" customHeight="1">
      <c r="I94" s="1"/>
    </row>
    <row r="95" ht="21" customHeight="1">
      <c r="I95" s="1"/>
    </row>
    <row r="96" ht="15">
      <c r="I96" s="1"/>
    </row>
    <row r="97" ht="15">
      <c r="I97" s="1"/>
    </row>
    <row r="98" ht="15">
      <c r="I98" s="1"/>
    </row>
    <row r="99" ht="15">
      <c r="I99" s="1"/>
    </row>
    <row r="100" ht="15">
      <c r="I100" s="1"/>
    </row>
    <row r="101" ht="15">
      <c r="I101" s="1"/>
    </row>
    <row r="102" ht="15">
      <c r="I102" s="1"/>
    </row>
    <row r="103" ht="15">
      <c r="I103" s="1"/>
    </row>
    <row r="104" ht="15">
      <c r="I104" s="1"/>
    </row>
    <row r="105" ht="15">
      <c r="I105" s="1"/>
    </row>
    <row r="106" ht="15">
      <c r="I106" s="1"/>
    </row>
    <row r="107" ht="15">
      <c r="I107" s="1"/>
    </row>
    <row r="108" ht="15">
      <c r="I108" s="1"/>
    </row>
    <row r="109" ht="15">
      <c r="I109" s="1"/>
    </row>
    <row r="110" ht="15">
      <c r="I110" s="1"/>
    </row>
    <row r="111" ht="15">
      <c r="I111" s="1"/>
    </row>
    <row r="112" ht="15">
      <c r="I112" s="1"/>
    </row>
    <row r="113" ht="15">
      <c r="I113" s="1"/>
    </row>
    <row r="114" ht="15">
      <c r="I114" s="1"/>
    </row>
    <row r="115" ht="15">
      <c r="I115" s="1"/>
    </row>
    <row r="116" ht="15">
      <c r="I116" s="1"/>
    </row>
    <row r="117" ht="15">
      <c r="I117" s="1"/>
    </row>
    <row r="118" ht="15">
      <c r="I118" s="1"/>
    </row>
    <row r="119" ht="15">
      <c r="I119" s="1"/>
    </row>
    <row r="120" ht="15">
      <c r="I120" s="1"/>
    </row>
    <row r="121" ht="15">
      <c r="I121" s="1"/>
    </row>
    <row r="122" ht="15">
      <c r="I122" s="1"/>
    </row>
    <row r="123" ht="15">
      <c r="I123" s="1"/>
    </row>
    <row r="124" ht="15">
      <c r="I124" s="1"/>
    </row>
    <row r="125" ht="15">
      <c r="I125" s="1"/>
    </row>
    <row r="126" ht="15">
      <c r="I126" s="1"/>
    </row>
    <row r="127" ht="15">
      <c r="I127" s="1"/>
    </row>
    <row r="128" ht="15">
      <c r="I128" s="1"/>
    </row>
    <row r="129" ht="15">
      <c r="I129" s="1"/>
    </row>
    <row r="130" ht="15">
      <c r="I130" s="1"/>
    </row>
    <row r="131" ht="15">
      <c r="I131" s="1"/>
    </row>
    <row r="132" ht="15">
      <c r="I132" s="1"/>
    </row>
    <row r="133" ht="15">
      <c r="I133" s="1"/>
    </row>
    <row r="134" ht="15">
      <c r="I134" s="1"/>
    </row>
    <row r="135" ht="15">
      <c r="I135" s="1"/>
    </row>
    <row r="136" ht="15">
      <c r="I136" s="1"/>
    </row>
    <row r="137" ht="15">
      <c r="I137" s="1"/>
    </row>
    <row r="138" ht="15">
      <c r="I138" s="1"/>
    </row>
    <row r="139" ht="15">
      <c r="I139" s="1"/>
    </row>
    <row r="140" ht="15">
      <c r="I140" s="1"/>
    </row>
    <row r="141" ht="15">
      <c r="I141" s="1"/>
    </row>
    <row r="142" ht="15">
      <c r="I142" s="1"/>
    </row>
    <row r="143" ht="15">
      <c r="I143" s="1"/>
    </row>
    <row r="144" ht="15">
      <c r="I144" s="1"/>
    </row>
    <row r="145" ht="15">
      <c r="I145" s="1"/>
    </row>
    <row r="146" ht="15">
      <c r="I146" s="1"/>
    </row>
    <row r="147" ht="15">
      <c r="I147" s="1"/>
    </row>
    <row r="148" ht="15">
      <c r="I148" s="1"/>
    </row>
    <row r="149" ht="15">
      <c r="I149" s="1"/>
    </row>
    <row r="150" ht="15">
      <c r="I150" s="1"/>
    </row>
    <row r="151" ht="15">
      <c r="I151" s="1"/>
    </row>
    <row r="152" ht="15">
      <c r="I152" s="1"/>
    </row>
    <row r="153" ht="15">
      <c r="I153" s="1"/>
    </row>
    <row r="154" ht="15">
      <c r="I154" s="1"/>
    </row>
    <row r="155" ht="15">
      <c r="I155" s="1"/>
    </row>
    <row r="156" ht="15">
      <c r="I156" s="1"/>
    </row>
    <row r="157" ht="15">
      <c r="I157" s="1"/>
    </row>
    <row r="158" ht="15">
      <c r="I158" s="1"/>
    </row>
    <row r="159" ht="15">
      <c r="I159" s="1"/>
    </row>
    <row r="160" ht="15">
      <c r="I160" s="1"/>
    </row>
    <row r="161" ht="15">
      <c r="I161" s="1"/>
    </row>
    <row r="162" ht="15">
      <c r="I162" s="1"/>
    </row>
    <row r="163" ht="15">
      <c r="I163" s="1"/>
    </row>
    <row r="164" ht="15">
      <c r="I164" s="1"/>
    </row>
    <row r="165" ht="15">
      <c r="I165" s="1"/>
    </row>
    <row r="166" ht="15">
      <c r="I166" s="1"/>
    </row>
    <row r="167" ht="15">
      <c r="I167" s="1"/>
    </row>
    <row r="168" ht="15">
      <c r="I168" s="1"/>
    </row>
    <row r="169" ht="15">
      <c r="I169" s="1"/>
    </row>
    <row r="170" ht="15">
      <c r="I170" s="1"/>
    </row>
    <row r="171" ht="15">
      <c r="I171" s="1"/>
    </row>
    <row r="172" ht="15">
      <c r="I172" s="1"/>
    </row>
    <row r="173" ht="15">
      <c r="I173" s="1"/>
    </row>
    <row r="174" ht="15">
      <c r="I174" s="1"/>
    </row>
    <row r="175" ht="15">
      <c r="I175" s="1"/>
    </row>
    <row r="176" ht="15">
      <c r="I176" s="1"/>
    </row>
    <row r="177" ht="15">
      <c r="I177" s="1"/>
    </row>
    <row r="178" ht="15">
      <c r="I178" s="1"/>
    </row>
    <row r="179" ht="15">
      <c r="I179" s="1"/>
    </row>
    <row r="180" ht="15">
      <c r="I180" s="1"/>
    </row>
    <row r="181" ht="15">
      <c r="I181" s="1"/>
    </row>
    <row r="182" ht="15">
      <c r="I182" s="1"/>
    </row>
    <row r="183" ht="15">
      <c r="I183" s="1"/>
    </row>
    <row r="184" ht="15">
      <c r="I184" s="1"/>
    </row>
    <row r="185" ht="15">
      <c r="I185" s="1"/>
    </row>
    <row r="186" ht="15">
      <c r="I186" s="1"/>
    </row>
    <row r="187" ht="15">
      <c r="I187" s="1"/>
    </row>
    <row r="188" ht="15">
      <c r="I188" s="1"/>
    </row>
    <row r="189" ht="15">
      <c r="I189" s="1"/>
    </row>
    <row r="190" ht="15">
      <c r="I190" s="1"/>
    </row>
    <row r="191" ht="15">
      <c r="I191" s="1"/>
    </row>
    <row r="192" ht="15">
      <c r="I192" s="1"/>
    </row>
    <row r="193" ht="15">
      <c r="I193" s="1"/>
    </row>
    <row r="194" ht="15">
      <c r="I194" s="1"/>
    </row>
    <row r="195" ht="15">
      <c r="I195" s="1"/>
    </row>
    <row r="196" ht="15">
      <c r="I196" s="1"/>
    </row>
    <row r="197" ht="15">
      <c r="I197" s="1"/>
    </row>
    <row r="198" ht="15">
      <c r="I198" s="1"/>
    </row>
    <row r="199" ht="15">
      <c r="I199" s="1"/>
    </row>
    <row r="200" ht="15">
      <c r="I200" s="1"/>
    </row>
    <row r="201" ht="15">
      <c r="I201" s="1"/>
    </row>
    <row r="202" ht="15">
      <c r="I202" s="1"/>
    </row>
    <row r="203" ht="15">
      <c r="I203" s="1"/>
    </row>
    <row r="204" ht="15">
      <c r="I204" s="1"/>
    </row>
    <row r="205" ht="15">
      <c r="I205" s="1"/>
    </row>
    <row r="206" ht="15">
      <c r="I206" s="1"/>
    </row>
    <row r="207" ht="15">
      <c r="I207" s="1"/>
    </row>
    <row r="208" ht="15">
      <c r="I208" s="1"/>
    </row>
    <row r="209" ht="15">
      <c r="I209" s="1"/>
    </row>
    <row r="210" ht="15">
      <c r="I210" s="1"/>
    </row>
    <row r="211" ht="15">
      <c r="I211" s="1"/>
    </row>
    <row r="212" ht="15">
      <c r="I212" s="1"/>
    </row>
    <row r="213" ht="15">
      <c r="I213" s="1"/>
    </row>
    <row r="214" ht="15">
      <c r="I214" s="1"/>
    </row>
    <row r="215" ht="15">
      <c r="I215" s="1"/>
    </row>
    <row r="216" ht="15">
      <c r="I216" s="1"/>
    </row>
    <row r="217" ht="15">
      <c r="I217" s="1"/>
    </row>
    <row r="218" ht="15">
      <c r="I218" s="1"/>
    </row>
    <row r="219" ht="15">
      <c r="I219" s="1"/>
    </row>
    <row r="220" ht="15">
      <c r="I220" s="1"/>
    </row>
    <row r="221" ht="15">
      <c r="I221" s="1"/>
    </row>
    <row r="222" ht="15">
      <c r="I222" s="1"/>
    </row>
    <row r="223" ht="15">
      <c r="I223" s="1"/>
    </row>
    <row r="224" ht="15">
      <c r="I224" s="1"/>
    </row>
    <row r="225" ht="15">
      <c r="I225" s="1"/>
    </row>
    <row r="226" ht="15">
      <c r="I226" s="1"/>
    </row>
    <row r="227" ht="15">
      <c r="I227" s="1"/>
    </row>
    <row r="228" ht="15">
      <c r="I228" s="1"/>
    </row>
    <row r="229" ht="15">
      <c r="I229" s="1"/>
    </row>
    <row r="230" ht="15">
      <c r="I230" s="1"/>
    </row>
    <row r="231" ht="15">
      <c r="I231" s="1"/>
    </row>
    <row r="232" ht="15">
      <c r="I232" s="1"/>
    </row>
    <row r="233" ht="15">
      <c r="I233" s="1"/>
    </row>
    <row r="234" ht="15">
      <c r="I234" s="1"/>
    </row>
    <row r="235" ht="15">
      <c r="I235" s="1"/>
    </row>
    <row r="236" ht="15">
      <c r="I236" s="1"/>
    </row>
    <row r="237" ht="15">
      <c r="I237" s="1"/>
    </row>
    <row r="238" ht="15">
      <c r="I238" s="1"/>
    </row>
    <row r="239" ht="15">
      <c r="I239" s="1"/>
    </row>
    <row r="240" ht="15">
      <c r="I240" s="1"/>
    </row>
    <row r="241" ht="15">
      <c r="I241" s="1"/>
    </row>
    <row r="242" ht="15">
      <c r="I242" s="1"/>
    </row>
    <row r="243" ht="15">
      <c r="I243" s="1"/>
    </row>
    <row r="244" ht="15">
      <c r="I244" s="1"/>
    </row>
    <row r="245" ht="15">
      <c r="I245" s="1"/>
    </row>
    <row r="246" ht="15">
      <c r="I246" s="1"/>
    </row>
    <row r="247" ht="15">
      <c r="I247" s="1"/>
    </row>
    <row r="248" ht="15">
      <c r="I248" s="1"/>
    </row>
    <row r="249" ht="15">
      <c r="I249" s="1"/>
    </row>
    <row r="250" ht="15">
      <c r="I250" s="1"/>
    </row>
    <row r="251" ht="15">
      <c r="I251" s="1"/>
    </row>
    <row r="252" ht="15">
      <c r="I252" s="1"/>
    </row>
    <row r="253" ht="15">
      <c r="I253" s="1"/>
    </row>
    <row r="254" ht="15">
      <c r="I254" s="1"/>
    </row>
    <row r="255" ht="15">
      <c r="I255" s="1"/>
    </row>
    <row r="256" ht="15">
      <c r="I256" s="1"/>
    </row>
    <row r="257" ht="15">
      <c r="I257" s="1"/>
    </row>
    <row r="258" ht="15">
      <c r="I258" s="1"/>
    </row>
    <row r="259" ht="15">
      <c r="I259" s="1"/>
    </row>
    <row r="260" ht="15">
      <c r="I260" s="1"/>
    </row>
    <row r="261" ht="15">
      <c r="I261" s="1"/>
    </row>
    <row r="262" ht="15">
      <c r="I262" s="1"/>
    </row>
    <row r="263" ht="15">
      <c r="I263" s="1"/>
    </row>
    <row r="264" ht="15">
      <c r="I264" s="1"/>
    </row>
    <row r="265" ht="15">
      <c r="I265" s="1"/>
    </row>
    <row r="266" ht="15">
      <c r="I266" s="1"/>
    </row>
    <row r="267" ht="15">
      <c r="I267" s="1"/>
    </row>
    <row r="268" ht="15">
      <c r="I268" s="1"/>
    </row>
    <row r="269" ht="15">
      <c r="I269" s="1"/>
    </row>
    <row r="270" ht="15">
      <c r="I270" s="1"/>
    </row>
    <row r="271" ht="15">
      <c r="I271" s="1"/>
    </row>
    <row r="272" ht="15">
      <c r="I272" s="1"/>
    </row>
    <row r="273" ht="15">
      <c r="I273" s="1"/>
    </row>
    <row r="274" ht="15">
      <c r="I274" s="1"/>
    </row>
    <row r="275" ht="15">
      <c r="I275" s="1"/>
    </row>
    <row r="276" ht="15">
      <c r="I276" s="1"/>
    </row>
    <row r="277" ht="15">
      <c r="I277" s="1"/>
    </row>
    <row r="278" ht="15">
      <c r="I278" s="1"/>
    </row>
    <row r="279" ht="15">
      <c r="I279" s="1"/>
    </row>
    <row r="280" ht="15">
      <c r="I280" s="1"/>
    </row>
    <row r="281" ht="15">
      <c r="I281" s="1"/>
    </row>
    <row r="282" ht="15">
      <c r="I282" s="1"/>
    </row>
    <row r="283" ht="15">
      <c r="I283" s="1"/>
    </row>
    <row r="284" ht="15">
      <c r="I284" s="1"/>
    </row>
    <row r="285" ht="15">
      <c r="I285" s="1"/>
    </row>
    <row r="286" ht="15">
      <c r="I286" s="1"/>
    </row>
    <row r="287" ht="15">
      <c r="I287" s="1"/>
    </row>
    <row r="288" ht="15">
      <c r="I288" s="1"/>
    </row>
    <row r="289" ht="15">
      <c r="I289" s="1"/>
    </row>
    <row r="290" ht="15">
      <c r="I290" s="1"/>
    </row>
    <row r="291" ht="15">
      <c r="I291" s="1"/>
    </row>
    <row r="292" ht="15">
      <c r="I292" s="1"/>
    </row>
    <row r="293" ht="15">
      <c r="I293" s="1"/>
    </row>
    <row r="294" ht="15">
      <c r="I294" s="1"/>
    </row>
    <row r="295" ht="15">
      <c r="I295" s="1"/>
    </row>
    <row r="296" ht="15">
      <c r="I296" s="1"/>
    </row>
    <row r="297" ht="15">
      <c r="I297" s="1"/>
    </row>
    <row r="298" ht="15">
      <c r="I298" s="1"/>
    </row>
    <row r="299" ht="15">
      <c r="I299" s="1"/>
    </row>
    <row r="300" ht="15">
      <c r="I300" s="1"/>
    </row>
    <row r="301" ht="15">
      <c r="I301" s="1"/>
    </row>
    <row r="302" ht="15">
      <c r="I302" s="1"/>
    </row>
  </sheetData>
  <mergeCells count="44">
    <mergeCell ref="B60:D60"/>
    <mergeCell ref="B48:D48"/>
    <mergeCell ref="A1:I1"/>
    <mergeCell ref="A2:H3"/>
    <mergeCell ref="B4:H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7:H17"/>
    <mergeCell ref="B19:H19"/>
    <mergeCell ref="B24:H24"/>
    <mergeCell ref="B25:H25"/>
    <mergeCell ref="B26:H26"/>
    <mergeCell ref="B27:H27"/>
    <mergeCell ref="B29:H29"/>
    <mergeCell ref="B30:H30"/>
    <mergeCell ref="B28:D28"/>
    <mergeCell ref="B35:H35"/>
    <mergeCell ref="B37:H37"/>
    <mergeCell ref="B38:H38"/>
    <mergeCell ref="B42:H42"/>
    <mergeCell ref="B43:H43"/>
    <mergeCell ref="B44:H44"/>
    <mergeCell ref="B45:H45"/>
    <mergeCell ref="B47:H47"/>
    <mergeCell ref="B53:H53"/>
    <mergeCell ref="B57:H57"/>
    <mergeCell ref="B59:H59"/>
    <mergeCell ref="B49:H49"/>
    <mergeCell ref="B50:H50"/>
    <mergeCell ref="B51:H51"/>
    <mergeCell ref="B52:H52"/>
    <mergeCell ref="B58:C58"/>
    <mergeCell ref="B66:H66"/>
    <mergeCell ref="B62:H62"/>
    <mergeCell ref="B63:H63"/>
    <mergeCell ref="B64:H64"/>
    <mergeCell ref="B65:H65"/>
  </mergeCells>
  <printOptions/>
  <pageMargins left="0.69" right="0.25" top="1" bottom="0.5" header="0.5" footer="0.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P2" sqref="P2"/>
    </sheetView>
  </sheetViews>
  <sheetFormatPr defaultColWidth="9.140625" defaultRowHeight="12.75"/>
  <cols>
    <col min="1" max="1" width="2.57421875" style="266" customWidth="1"/>
    <col min="2" max="2" width="1.7109375" style="266" customWidth="1"/>
    <col min="3" max="3" width="13.140625" style="266" customWidth="1"/>
    <col min="4" max="6" width="13.140625" style="266" hidden="1" customWidth="1"/>
    <col min="7" max="15" width="8.140625" style="266" customWidth="1"/>
    <col min="16" max="16384" width="9.140625" style="266" customWidth="1"/>
  </cols>
  <sheetData>
    <row r="1" ht="24" customHeight="1">
      <c r="A1" s="265" t="s">
        <v>409</v>
      </c>
    </row>
    <row r="2" spans="1:6" ht="20.25" customHeight="1">
      <c r="A2" s="267" t="s">
        <v>109</v>
      </c>
      <c r="C2" s="268"/>
      <c r="D2" s="268"/>
      <c r="E2" s="268"/>
      <c r="F2" s="268"/>
    </row>
    <row r="3" spans="1:15" ht="16.5" customHeight="1">
      <c r="A3" s="1376" t="s">
        <v>105</v>
      </c>
      <c r="B3" s="1377"/>
      <c r="C3" s="1378"/>
      <c r="D3" s="269">
        <v>2005</v>
      </c>
      <c r="E3" s="269"/>
      <c r="F3" s="270"/>
      <c r="G3" s="269">
        <v>2006</v>
      </c>
      <c r="H3" s="269"/>
      <c r="I3" s="270"/>
      <c r="J3" s="1382">
        <v>2007</v>
      </c>
      <c r="K3" s="1383"/>
      <c r="L3" s="1384"/>
      <c r="M3" s="1382">
        <v>2008</v>
      </c>
      <c r="N3" s="1383"/>
      <c r="O3" s="1384"/>
    </row>
    <row r="4" spans="1:15" ht="16.5" customHeight="1">
      <c r="A4" s="1379"/>
      <c r="B4" s="1380"/>
      <c r="C4" s="1381"/>
      <c r="D4" s="271" t="s">
        <v>5</v>
      </c>
      <c r="E4" s="271" t="s">
        <v>47</v>
      </c>
      <c r="F4" s="272" t="s">
        <v>48</v>
      </c>
      <c r="G4" s="271" t="s">
        <v>5</v>
      </c>
      <c r="H4" s="271" t="s">
        <v>47</v>
      </c>
      <c r="I4" s="272" t="s">
        <v>48</v>
      </c>
      <c r="J4" s="273" t="s">
        <v>5</v>
      </c>
      <c r="K4" s="274" t="s">
        <v>47</v>
      </c>
      <c r="L4" s="275" t="s">
        <v>48</v>
      </c>
      <c r="M4" s="1194" t="s">
        <v>5</v>
      </c>
      <c r="N4" s="274" t="s">
        <v>47</v>
      </c>
      <c r="O4" s="275" t="s">
        <v>48</v>
      </c>
    </row>
    <row r="5" spans="1:15" ht="19.5" customHeight="1">
      <c r="A5" s="276" t="s">
        <v>110</v>
      </c>
      <c r="B5" s="277"/>
      <c r="C5" s="277"/>
      <c r="D5" s="278"/>
      <c r="E5" s="278"/>
      <c r="F5" s="278"/>
      <c r="G5" s="279"/>
      <c r="H5" s="279"/>
      <c r="I5" s="279"/>
      <c r="J5" s="280"/>
      <c r="K5" s="281"/>
      <c r="L5" s="280"/>
      <c r="M5" s="280"/>
      <c r="N5" s="281"/>
      <c r="O5" s="282"/>
    </row>
    <row r="6" spans="1:15" ht="25.5" customHeight="1">
      <c r="A6" s="283" t="s">
        <v>106</v>
      </c>
      <c r="B6" s="284"/>
      <c r="C6" s="285" t="s">
        <v>91</v>
      </c>
      <c r="D6" s="286">
        <f>SUM(E6:F6)</f>
        <v>19525</v>
      </c>
      <c r="E6" s="287">
        <v>9928</v>
      </c>
      <c r="F6" s="288">
        <v>9597</v>
      </c>
      <c r="G6" s="286">
        <f>SUM(H6:I6)</f>
        <v>19437</v>
      </c>
      <c r="H6" s="287">
        <v>9861</v>
      </c>
      <c r="I6" s="288">
        <v>9576</v>
      </c>
      <c r="J6" s="289">
        <f aca="true" t="shared" si="0" ref="J6:J12">K6+L6</f>
        <v>18831</v>
      </c>
      <c r="K6" s="290">
        <f aca="true" t="shared" si="1" ref="K6:L12">K15+K24</f>
        <v>9465</v>
      </c>
      <c r="L6" s="291">
        <f t="shared" si="1"/>
        <v>9366</v>
      </c>
      <c r="M6" s="297">
        <f aca="true" t="shared" si="2" ref="M6:M12">N6+O6</f>
        <v>19048</v>
      </c>
      <c r="N6" s="290">
        <f>N15+N24</f>
        <v>9587</v>
      </c>
      <c r="O6" s="291">
        <f>O15+O24</f>
        <v>9461</v>
      </c>
    </row>
    <row r="7" spans="1:15" ht="25.5" customHeight="1">
      <c r="A7" s="292"/>
      <c r="B7" s="277"/>
      <c r="C7" s="293" t="s">
        <v>92</v>
      </c>
      <c r="D7" s="294">
        <f aca="true" t="shared" si="3" ref="D7:D12">SUM(E7:F7)</f>
        <v>18578</v>
      </c>
      <c r="E7" s="295">
        <v>9420</v>
      </c>
      <c r="F7" s="296">
        <v>9158</v>
      </c>
      <c r="G7" s="294">
        <f aca="true" t="shared" si="4" ref="G7:G12">SUM(H7:I7)</f>
        <v>19623</v>
      </c>
      <c r="H7" s="295">
        <v>9937</v>
      </c>
      <c r="I7" s="296">
        <v>9686</v>
      </c>
      <c r="J7" s="297">
        <f t="shared" si="0"/>
        <v>19468</v>
      </c>
      <c r="K7" s="298">
        <f t="shared" si="1"/>
        <v>9850</v>
      </c>
      <c r="L7" s="299">
        <f t="shared" si="1"/>
        <v>9618</v>
      </c>
      <c r="M7" s="297">
        <f t="shared" si="2"/>
        <v>18915</v>
      </c>
      <c r="N7" s="298">
        <f aca="true" t="shared" si="5" ref="N7:O12">N16+N25</f>
        <v>9533</v>
      </c>
      <c r="O7" s="299">
        <f t="shared" si="5"/>
        <v>9382</v>
      </c>
    </row>
    <row r="8" spans="1:15" ht="25.5" customHeight="1">
      <c r="A8" s="292"/>
      <c r="B8" s="277"/>
      <c r="C8" s="293" t="s">
        <v>93</v>
      </c>
      <c r="D8" s="294">
        <f t="shared" si="3"/>
        <v>19179</v>
      </c>
      <c r="E8" s="295">
        <v>9733</v>
      </c>
      <c r="F8" s="296">
        <v>9446</v>
      </c>
      <c r="G8" s="294">
        <f t="shared" si="4"/>
        <v>18600</v>
      </c>
      <c r="H8" s="295">
        <v>9426</v>
      </c>
      <c r="I8" s="296">
        <v>9174</v>
      </c>
      <c r="J8" s="297">
        <f t="shared" si="0"/>
        <v>19548</v>
      </c>
      <c r="K8" s="298">
        <f t="shared" si="1"/>
        <v>9921</v>
      </c>
      <c r="L8" s="299">
        <f t="shared" si="1"/>
        <v>9627</v>
      </c>
      <c r="M8" s="297">
        <f t="shared" si="2"/>
        <v>19425</v>
      </c>
      <c r="N8" s="298">
        <f t="shared" si="5"/>
        <v>9926</v>
      </c>
      <c r="O8" s="299">
        <f t="shared" si="5"/>
        <v>9499</v>
      </c>
    </row>
    <row r="9" spans="1:15" ht="25.5" customHeight="1">
      <c r="A9" s="292"/>
      <c r="B9" s="277"/>
      <c r="C9" s="293" t="s">
        <v>94</v>
      </c>
      <c r="D9" s="294">
        <f t="shared" si="3"/>
        <v>19716</v>
      </c>
      <c r="E9" s="295">
        <v>9863</v>
      </c>
      <c r="F9" s="296">
        <v>9853</v>
      </c>
      <c r="G9" s="294">
        <f t="shared" si="4"/>
        <v>19105</v>
      </c>
      <c r="H9" s="295">
        <v>9648</v>
      </c>
      <c r="I9" s="296">
        <v>9457</v>
      </c>
      <c r="J9" s="297">
        <f t="shared" si="0"/>
        <v>18522</v>
      </c>
      <c r="K9" s="298">
        <f t="shared" si="1"/>
        <v>9402</v>
      </c>
      <c r="L9" s="299">
        <f t="shared" si="1"/>
        <v>9120</v>
      </c>
      <c r="M9" s="297">
        <f t="shared" si="2"/>
        <v>19488</v>
      </c>
      <c r="N9" s="298">
        <f t="shared" si="5"/>
        <v>9849</v>
      </c>
      <c r="O9" s="299">
        <f t="shared" si="5"/>
        <v>9639</v>
      </c>
    </row>
    <row r="10" spans="1:15" ht="25.5" customHeight="1">
      <c r="A10" s="292"/>
      <c r="B10" s="277"/>
      <c r="C10" s="293" t="s">
        <v>95</v>
      </c>
      <c r="D10" s="294">
        <f t="shared" si="3"/>
        <v>19798</v>
      </c>
      <c r="E10" s="295">
        <v>9897</v>
      </c>
      <c r="F10" s="296">
        <v>9901</v>
      </c>
      <c r="G10" s="294">
        <f t="shared" si="4"/>
        <v>19683</v>
      </c>
      <c r="H10" s="295">
        <v>9833</v>
      </c>
      <c r="I10" s="296">
        <v>9850</v>
      </c>
      <c r="J10" s="297">
        <f t="shared" si="0"/>
        <v>19044</v>
      </c>
      <c r="K10" s="298">
        <f t="shared" si="1"/>
        <v>9627</v>
      </c>
      <c r="L10" s="299">
        <f t="shared" si="1"/>
        <v>9417</v>
      </c>
      <c r="M10" s="297">
        <f t="shared" si="2"/>
        <v>18487</v>
      </c>
      <c r="N10" s="298">
        <f t="shared" si="5"/>
        <v>9416</v>
      </c>
      <c r="O10" s="299">
        <f t="shared" si="5"/>
        <v>9071</v>
      </c>
    </row>
    <row r="11" spans="1:15" ht="25.5" customHeight="1">
      <c r="A11" s="292"/>
      <c r="B11" s="277"/>
      <c r="C11" s="293" t="s">
        <v>96</v>
      </c>
      <c r="D11" s="294">
        <f t="shared" si="3"/>
        <v>20801</v>
      </c>
      <c r="E11" s="295">
        <v>10480</v>
      </c>
      <c r="F11" s="296">
        <v>10321</v>
      </c>
      <c r="G11" s="294">
        <f t="shared" si="4"/>
        <v>19568</v>
      </c>
      <c r="H11" s="295">
        <v>9766</v>
      </c>
      <c r="I11" s="296">
        <v>9802</v>
      </c>
      <c r="J11" s="297">
        <f t="shared" si="0"/>
        <v>19456</v>
      </c>
      <c r="K11" s="298">
        <f t="shared" si="1"/>
        <v>9715</v>
      </c>
      <c r="L11" s="299">
        <f t="shared" si="1"/>
        <v>9741</v>
      </c>
      <c r="M11" s="297">
        <f t="shared" si="2"/>
        <v>18901</v>
      </c>
      <c r="N11" s="298">
        <f t="shared" si="5"/>
        <v>9570</v>
      </c>
      <c r="O11" s="299">
        <f t="shared" si="5"/>
        <v>9331</v>
      </c>
    </row>
    <row r="12" spans="1:15" ht="25.5" customHeight="1">
      <c r="A12" s="292"/>
      <c r="B12" s="300"/>
      <c r="C12" s="301" t="s">
        <v>111</v>
      </c>
      <c r="D12" s="295">
        <f t="shared" si="3"/>
        <v>5965</v>
      </c>
      <c r="E12" s="302">
        <v>3408</v>
      </c>
      <c r="F12" s="296">
        <v>2557</v>
      </c>
      <c r="G12" s="295">
        <f t="shared" si="4"/>
        <v>5371</v>
      </c>
      <c r="H12" s="302">
        <v>3216</v>
      </c>
      <c r="I12" s="296">
        <v>2155</v>
      </c>
      <c r="J12" s="297">
        <f t="shared" si="0"/>
        <v>4441</v>
      </c>
      <c r="K12" s="298">
        <f t="shared" si="1"/>
        <v>2661</v>
      </c>
      <c r="L12" s="299">
        <f t="shared" si="1"/>
        <v>1780</v>
      </c>
      <c r="M12" s="297">
        <f t="shared" si="2"/>
        <v>4758</v>
      </c>
      <c r="N12" s="298">
        <f t="shared" si="5"/>
        <v>2812</v>
      </c>
      <c r="O12" s="299">
        <f t="shared" si="5"/>
        <v>1946</v>
      </c>
    </row>
    <row r="13" spans="1:15" ht="25.5" customHeight="1">
      <c r="A13" s="303" t="s">
        <v>5</v>
      </c>
      <c r="B13" s="304"/>
      <c r="C13" s="305"/>
      <c r="D13" s="306">
        <f aca="true" t="shared" si="6" ref="D13:O13">SUM(D6:D12)</f>
        <v>123562</v>
      </c>
      <c r="E13" s="306">
        <f t="shared" si="6"/>
        <v>62729</v>
      </c>
      <c r="F13" s="307">
        <f t="shared" si="6"/>
        <v>60833</v>
      </c>
      <c r="G13" s="306">
        <f t="shared" si="6"/>
        <v>121387</v>
      </c>
      <c r="H13" s="306">
        <f t="shared" si="6"/>
        <v>61687</v>
      </c>
      <c r="I13" s="307">
        <f t="shared" si="6"/>
        <v>59700</v>
      </c>
      <c r="J13" s="308">
        <f t="shared" si="6"/>
        <v>119310</v>
      </c>
      <c r="K13" s="309">
        <f t="shared" si="6"/>
        <v>60641</v>
      </c>
      <c r="L13" s="310">
        <f t="shared" si="6"/>
        <v>58669</v>
      </c>
      <c r="M13" s="289">
        <f t="shared" si="6"/>
        <v>119022</v>
      </c>
      <c r="N13" s="309">
        <f t="shared" si="6"/>
        <v>60693</v>
      </c>
      <c r="O13" s="310">
        <f t="shared" si="6"/>
        <v>58329</v>
      </c>
    </row>
    <row r="14" spans="1:15" ht="27" customHeight="1">
      <c r="A14" s="311" t="s">
        <v>112</v>
      </c>
      <c r="B14" s="284"/>
      <c r="C14" s="312"/>
      <c r="D14" s="269"/>
      <c r="E14" s="269"/>
      <c r="F14" s="269"/>
      <c r="G14" s="313"/>
      <c r="H14" s="314"/>
      <c r="I14" s="269"/>
      <c r="J14" s="315"/>
      <c r="K14" s="316"/>
      <c r="L14" s="315"/>
      <c r="M14" s="315"/>
      <c r="N14" s="316"/>
      <c r="O14" s="317"/>
    </row>
    <row r="15" spans="1:15" ht="25.5" customHeight="1">
      <c r="A15" s="283" t="s">
        <v>106</v>
      </c>
      <c r="B15" s="284"/>
      <c r="C15" s="285" t="s">
        <v>91</v>
      </c>
      <c r="D15" s="286">
        <f aca="true" t="shared" si="7" ref="D15:D21">SUM(E15:F15)</f>
        <v>14502</v>
      </c>
      <c r="E15" s="286">
        <v>7408</v>
      </c>
      <c r="F15" s="288">
        <v>7094</v>
      </c>
      <c r="G15" s="286">
        <f aca="true" t="shared" si="8" ref="G15:G21">SUM(H15:I15)</f>
        <v>14299</v>
      </c>
      <c r="H15" s="286">
        <v>7286</v>
      </c>
      <c r="I15" s="288">
        <v>7013</v>
      </c>
      <c r="J15" s="289">
        <f aca="true" t="shared" si="9" ref="J15:J21">K15+L15</f>
        <v>13758</v>
      </c>
      <c r="K15" s="290">
        <v>6984</v>
      </c>
      <c r="L15" s="291">
        <v>6774</v>
      </c>
      <c r="M15" s="297">
        <f aca="true" t="shared" si="10" ref="M15:M21">N15+O15</f>
        <v>13963</v>
      </c>
      <c r="N15" s="290">
        <v>7021</v>
      </c>
      <c r="O15" s="291">
        <v>6942</v>
      </c>
    </row>
    <row r="16" spans="1:15" ht="25.5" customHeight="1">
      <c r="A16" s="292"/>
      <c r="B16" s="277"/>
      <c r="C16" s="293" t="s">
        <v>92</v>
      </c>
      <c r="D16" s="295">
        <f t="shared" si="7"/>
        <v>13660</v>
      </c>
      <c r="E16" s="295">
        <v>6968</v>
      </c>
      <c r="F16" s="296">
        <v>6692</v>
      </c>
      <c r="G16" s="295">
        <f t="shared" si="8"/>
        <v>14423</v>
      </c>
      <c r="H16" s="295">
        <v>7327</v>
      </c>
      <c r="I16" s="296">
        <v>7096</v>
      </c>
      <c r="J16" s="297">
        <f t="shared" si="9"/>
        <v>14199</v>
      </c>
      <c r="K16" s="298">
        <v>7205</v>
      </c>
      <c r="L16" s="299">
        <v>6994</v>
      </c>
      <c r="M16" s="297">
        <f t="shared" si="10"/>
        <v>13698</v>
      </c>
      <c r="N16" s="298">
        <v>6951</v>
      </c>
      <c r="O16" s="299">
        <v>6747</v>
      </c>
    </row>
    <row r="17" spans="1:15" ht="25.5" customHeight="1">
      <c r="A17" s="292"/>
      <c r="B17" s="277"/>
      <c r="C17" s="293" t="s">
        <v>93</v>
      </c>
      <c r="D17" s="295">
        <f t="shared" si="7"/>
        <v>14262</v>
      </c>
      <c r="E17" s="295">
        <v>7282</v>
      </c>
      <c r="F17" s="296">
        <v>6980</v>
      </c>
      <c r="G17" s="295">
        <f t="shared" si="8"/>
        <v>13624</v>
      </c>
      <c r="H17" s="295">
        <v>6943</v>
      </c>
      <c r="I17" s="296">
        <v>6681</v>
      </c>
      <c r="J17" s="297">
        <f t="shared" si="9"/>
        <v>14351</v>
      </c>
      <c r="K17" s="298">
        <v>7292</v>
      </c>
      <c r="L17" s="299">
        <v>7059</v>
      </c>
      <c r="M17" s="297">
        <f t="shared" si="10"/>
        <v>14120</v>
      </c>
      <c r="N17" s="298">
        <v>7251</v>
      </c>
      <c r="O17" s="299">
        <v>6869</v>
      </c>
    </row>
    <row r="18" spans="1:15" ht="25.5" customHeight="1">
      <c r="A18" s="292"/>
      <c r="B18" s="277"/>
      <c r="C18" s="293" t="s">
        <v>94</v>
      </c>
      <c r="D18" s="295">
        <f t="shared" si="7"/>
        <v>14819</v>
      </c>
      <c r="E18" s="295">
        <v>7430</v>
      </c>
      <c r="F18" s="296">
        <v>7389</v>
      </c>
      <c r="G18" s="295">
        <f t="shared" si="8"/>
        <v>14174</v>
      </c>
      <c r="H18" s="295">
        <v>7213</v>
      </c>
      <c r="I18" s="296">
        <v>6961</v>
      </c>
      <c r="J18" s="297">
        <f t="shared" si="9"/>
        <v>13562</v>
      </c>
      <c r="K18" s="298">
        <v>6913</v>
      </c>
      <c r="L18" s="299">
        <v>6649</v>
      </c>
      <c r="M18" s="297">
        <f t="shared" si="10"/>
        <v>14248</v>
      </c>
      <c r="N18" s="298">
        <v>7219</v>
      </c>
      <c r="O18" s="299">
        <v>7029</v>
      </c>
    </row>
    <row r="19" spans="1:15" ht="25.5" customHeight="1">
      <c r="A19" s="292"/>
      <c r="B19" s="277"/>
      <c r="C19" s="293" t="s">
        <v>95</v>
      </c>
      <c r="D19" s="295">
        <f t="shared" si="7"/>
        <v>14761</v>
      </c>
      <c r="E19" s="295">
        <v>7442</v>
      </c>
      <c r="F19" s="296">
        <v>7319</v>
      </c>
      <c r="G19" s="295">
        <f t="shared" si="8"/>
        <v>14727</v>
      </c>
      <c r="H19" s="295">
        <v>7362</v>
      </c>
      <c r="I19" s="296">
        <v>7365</v>
      </c>
      <c r="J19" s="297">
        <f t="shared" si="9"/>
        <v>14100</v>
      </c>
      <c r="K19" s="298">
        <v>7190</v>
      </c>
      <c r="L19" s="299">
        <v>6910</v>
      </c>
      <c r="M19" s="297">
        <f t="shared" si="10"/>
        <v>13555</v>
      </c>
      <c r="N19" s="298">
        <v>6934</v>
      </c>
      <c r="O19" s="299">
        <v>6621</v>
      </c>
    </row>
    <row r="20" spans="1:15" ht="25.5" customHeight="1">
      <c r="A20" s="292"/>
      <c r="B20" s="277"/>
      <c r="C20" s="293" t="s">
        <v>96</v>
      </c>
      <c r="D20" s="295">
        <f t="shared" si="7"/>
        <v>15809</v>
      </c>
      <c r="E20" s="295">
        <v>8010</v>
      </c>
      <c r="F20" s="296">
        <v>7799</v>
      </c>
      <c r="G20" s="295">
        <f t="shared" si="8"/>
        <v>14671</v>
      </c>
      <c r="H20" s="295">
        <v>7382</v>
      </c>
      <c r="I20" s="296">
        <v>7289</v>
      </c>
      <c r="J20" s="297">
        <f t="shared" si="9"/>
        <v>14650</v>
      </c>
      <c r="K20" s="298">
        <v>7332</v>
      </c>
      <c r="L20" s="299">
        <v>7318</v>
      </c>
      <c r="M20" s="297">
        <f t="shared" si="10"/>
        <v>14023</v>
      </c>
      <c r="N20" s="298">
        <v>7151</v>
      </c>
      <c r="O20" s="299">
        <v>6872</v>
      </c>
    </row>
    <row r="21" spans="1:15" ht="25.5" customHeight="1">
      <c r="A21" s="318"/>
      <c r="B21" s="319"/>
      <c r="C21" s="301" t="s">
        <v>111</v>
      </c>
      <c r="D21" s="295">
        <f t="shared" si="7"/>
        <v>4777</v>
      </c>
      <c r="E21" s="295">
        <v>2686</v>
      </c>
      <c r="F21" s="296">
        <v>2091</v>
      </c>
      <c r="G21" s="295">
        <f t="shared" si="8"/>
        <v>4363</v>
      </c>
      <c r="H21" s="295">
        <v>2583</v>
      </c>
      <c r="I21" s="296">
        <v>1780</v>
      </c>
      <c r="J21" s="297">
        <f t="shared" si="9"/>
        <v>3532</v>
      </c>
      <c r="K21" s="298">
        <v>2105</v>
      </c>
      <c r="L21" s="299">
        <v>1427</v>
      </c>
      <c r="M21" s="297">
        <f t="shared" si="10"/>
        <v>3830</v>
      </c>
      <c r="N21" s="298">
        <v>2252</v>
      </c>
      <c r="O21" s="299">
        <v>1578</v>
      </c>
    </row>
    <row r="22" spans="1:15" ht="25.5" customHeight="1">
      <c r="A22" s="303" t="s">
        <v>5</v>
      </c>
      <c r="B22" s="304"/>
      <c r="C22" s="305"/>
      <c r="D22" s="306">
        <f aca="true" t="shared" si="11" ref="D22:O22">SUM(D15:D21)</f>
        <v>92590</v>
      </c>
      <c r="E22" s="306">
        <f t="shared" si="11"/>
        <v>47226</v>
      </c>
      <c r="F22" s="307">
        <f t="shared" si="11"/>
        <v>45364</v>
      </c>
      <c r="G22" s="306">
        <f t="shared" si="11"/>
        <v>90281</v>
      </c>
      <c r="H22" s="306">
        <f t="shared" si="11"/>
        <v>46096</v>
      </c>
      <c r="I22" s="307">
        <f t="shared" si="11"/>
        <v>44185</v>
      </c>
      <c r="J22" s="308">
        <f t="shared" si="11"/>
        <v>88152</v>
      </c>
      <c r="K22" s="309">
        <f t="shared" si="11"/>
        <v>45021</v>
      </c>
      <c r="L22" s="310">
        <f t="shared" si="11"/>
        <v>43131</v>
      </c>
      <c r="M22" s="289">
        <f t="shared" si="11"/>
        <v>87437</v>
      </c>
      <c r="N22" s="309">
        <f t="shared" si="11"/>
        <v>44779</v>
      </c>
      <c r="O22" s="310">
        <f t="shared" si="11"/>
        <v>42658</v>
      </c>
    </row>
    <row r="23" spans="1:15" ht="27" customHeight="1">
      <c r="A23" s="320" t="s">
        <v>113</v>
      </c>
      <c r="B23" s="280"/>
      <c r="C23" s="280"/>
      <c r="D23" s="278"/>
      <c r="E23" s="278"/>
      <c r="F23" s="278"/>
      <c r="G23" s="278"/>
      <c r="H23" s="278"/>
      <c r="I23" s="278"/>
      <c r="J23" s="315"/>
      <c r="K23" s="316"/>
      <c r="L23" s="315"/>
      <c r="M23" s="315"/>
      <c r="N23" s="316"/>
      <c r="O23" s="317"/>
    </row>
    <row r="24" spans="1:15" ht="25.5" customHeight="1">
      <c r="A24" s="283" t="s">
        <v>106</v>
      </c>
      <c r="B24" s="284"/>
      <c r="C24" s="285" t="s">
        <v>91</v>
      </c>
      <c r="D24" s="295">
        <f aca="true" t="shared" si="12" ref="D24:D30">SUM(E24:F24)</f>
        <v>5023</v>
      </c>
      <c r="E24" s="321">
        <f aca="true" t="shared" si="13" ref="E24:F30">E6-E15</f>
        <v>2520</v>
      </c>
      <c r="F24" s="322">
        <f t="shared" si="13"/>
        <v>2503</v>
      </c>
      <c r="G24" s="295">
        <f aca="true" t="shared" si="14" ref="G24:G30">SUM(H24:I24)</f>
        <v>5138</v>
      </c>
      <c r="H24" s="321">
        <f aca="true" t="shared" si="15" ref="H24:I30">H6-H15</f>
        <v>2575</v>
      </c>
      <c r="I24" s="322">
        <f t="shared" si="15"/>
        <v>2563</v>
      </c>
      <c r="J24" s="289">
        <f aca="true" t="shared" si="16" ref="J24:J30">K24+L24</f>
        <v>5073</v>
      </c>
      <c r="K24" s="290">
        <v>2481</v>
      </c>
      <c r="L24" s="291">
        <v>2592</v>
      </c>
      <c r="M24" s="297">
        <f aca="true" t="shared" si="17" ref="M24:M30">N24+O24</f>
        <v>5085</v>
      </c>
      <c r="N24" s="290">
        <v>2566</v>
      </c>
      <c r="O24" s="291">
        <v>2519</v>
      </c>
    </row>
    <row r="25" spans="1:15" ht="25.5" customHeight="1">
      <c r="A25" s="292"/>
      <c r="B25" s="277"/>
      <c r="C25" s="293" t="s">
        <v>92</v>
      </c>
      <c r="D25" s="295">
        <f t="shared" si="12"/>
        <v>4918</v>
      </c>
      <c r="E25" s="321">
        <f t="shared" si="13"/>
        <v>2452</v>
      </c>
      <c r="F25" s="323">
        <f t="shared" si="13"/>
        <v>2466</v>
      </c>
      <c r="G25" s="295">
        <f t="shared" si="14"/>
        <v>5200</v>
      </c>
      <c r="H25" s="321">
        <f t="shared" si="15"/>
        <v>2610</v>
      </c>
      <c r="I25" s="323">
        <f t="shared" si="15"/>
        <v>2590</v>
      </c>
      <c r="J25" s="297">
        <f t="shared" si="16"/>
        <v>5269</v>
      </c>
      <c r="K25" s="298">
        <v>2645</v>
      </c>
      <c r="L25" s="299">
        <v>2624</v>
      </c>
      <c r="M25" s="297">
        <f t="shared" si="17"/>
        <v>5217</v>
      </c>
      <c r="N25" s="298">
        <v>2582</v>
      </c>
      <c r="O25" s="299">
        <v>2635</v>
      </c>
    </row>
    <row r="26" spans="1:15" ht="25.5" customHeight="1">
      <c r="A26" s="292"/>
      <c r="B26" s="277"/>
      <c r="C26" s="293" t="s">
        <v>93</v>
      </c>
      <c r="D26" s="295">
        <f t="shared" si="12"/>
        <v>4917</v>
      </c>
      <c r="E26" s="321">
        <f t="shared" si="13"/>
        <v>2451</v>
      </c>
      <c r="F26" s="323">
        <f t="shared" si="13"/>
        <v>2466</v>
      </c>
      <c r="G26" s="295">
        <f t="shared" si="14"/>
        <v>4976</v>
      </c>
      <c r="H26" s="321">
        <f t="shared" si="15"/>
        <v>2483</v>
      </c>
      <c r="I26" s="323">
        <f t="shared" si="15"/>
        <v>2493</v>
      </c>
      <c r="J26" s="297">
        <f t="shared" si="16"/>
        <v>5197</v>
      </c>
      <c r="K26" s="298">
        <v>2629</v>
      </c>
      <c r="L26" s="299">
        <v>2568</v>
      </c>
      <c r="M26" s="297">
        <f t="shared" si="17"/>
        <v>5305</v>
      </c>
      <c r="N26" s="298">
        <v>2675</v>
      </c>
      <c r="O26" s="299">
        <v>2630</v>
      </c>
    </row>
    <row r="27" spans="1:15" ht="25.5" customHeight="1">
      <c r="A27" s="292"/>
      <c r="B27" s="277"/>
      <c r="C27" s="293" t="s">
        <v>94</v>
      </c>
      <c r="D27" s="295">
        <f t="shared" si="12"/>
        <v>4897</v>
      </c>
      <c r="E27" s="321">
        <f t="shared" si="13"/>
        <v>2433</v>
      </c>
      <c r="F27" s="323">
        <f t="shared" si="13"/>
        <v>2464</v>
      </c>
      <c r="G27" s="295">
        <f t="shared" si="14"/>
        <v>4931</v>
      </c>
      <c r="H27" s="321">
        <f t="shared" si="15"/>
        <v>2435</v>
      </c>
      <c r="I27" s="323">
        <f t="shared" si="15"/>
        <v>2496</v>
      </c>
      <c r="J27" s="297">
        <f t="shared" si="16"/>
        <v>4960</v>
      </c>
      <c r="K27" s="298">
        <v>2489</v>
      </c>
      <c r="L27" s="299">
        <v>2471</v>
      </c>
      <c r="M27" s="297">
        <f t="shared" si="17"/>
        <v>5240</v>
      </c>
      <c r="N27" s="298">
        <v>2630</v>
      </c>
      <c r="O27" s="299">
        <v>2610</v>
      </c>
    </row>
    <row r="28" spans="1:15" ht="25.5" customHeight="1">
      <c r="A28" s="292"/>
      <c r="B28" s="277"/>
      <c r="C28" s="293" t="s">
        <v>95</v>
      </c>
      <c r="D28" s="295">
        <f t="shared" si="12"/>
        <v>5037</v>
      </c>
      <c r="E28" s="321">
        <f t="shared" si="13"/>
        <v>2455</v>
      </c>
      <c r="F28" s="323">
        <f t="shared" si="13"/>
        <v>2582</v>
      </c>
      <c r="G28" s="295">
        <f t="shared" si="14"/>
        <v>4956</v>
      </c>
      <c r="H28" s="321">
        <f t="shared" si="15"/>
        <v>2471</v>
      </c>
      <c r="I28" s="323">
        <f t="shared" si="15"/>
        <v>2485</v>
      </c>
      <c r="J28" s="297">
        <f t="shared" si="16"/>
        <v>4944</v>
      </c>
      <c r="K28" s="298">
        <v>2437</v>
      </c>
      <c r="L28" s="299">
        <v>2507</v>
      </c>
      <c r="M28" s="297">
        <f t="shared" si="17"/>
        <v>4932</v>
      </c>
      <c r="N28" s="298">
        <v>2482</v>
      </c>
      <c r="O28" s="299">
        <v>2450</v>
      </c>
    </row>
    <row r="29" spans="1:15" ht="25.5" customHeight="1">
      <c r="A29" s="292"/>
      <c r="B29" s="277"/>
      <c r="C29" s="293" t="s">
        <v>96</v>
      </c>
      <c r="D29" s="295">
        <f t="shared" si="12"/>
        <v>4992</v>
      </c>
      <c r="E29" s="321">
        <f t="shared" si="13"/>
        <v>2470</v>
      </c>
      <c r="F29" s="323">
        <f t="shared" si="13"/>
        <v>2522</v>
      </c>
      <c r="G29" s="295">
        <f t="shared" si="14"/>
        <v>4897</v>
      </c>
      <c r="H29" s="321">
        <f t="shared" si="15"/>
        <v>2384</v>
      </c>
      <c r="I29" s="323">
        <f t="shared" si="15"/>
        <v>2513</v>
      </c>
      <c r="J29" s="297">
        <f t="shared" si="16"/>
        <v>4806</v>
      </c>
      <c r="K29" s="298">
        <v>2383</v>
      </c>
      <c r="L29" s="299">
        <v>2423</v>
      </c>
      <c r="M29" s="297">
        <f t="shared" si="17"/>
        <v>4878</v>
      </c>
      <c r="N29" s="298">
        <v>2419</v>
      </c>
      <c r="O29" s="299">
        <v>2459</v>
      </c>
    </row>
    <row r="30" spans="1:15" ht="25.5" customHeight="1">
      <c r="A30" s="292"/>
      <c r="B30" s="300"/>
      <c r="C30" s="301" t="s">
        <v>111</v>
      </c>
      <c r="D30" s="295">
        <f t="shared" si="12"/>
        <v>1188</v>
      </c>
      <c r="E30" s="321">
        <f t="shared" si="13"/>
        <v>722</v>
      </c>
      <c r="F30" s="323">
        <f t="shared" si="13"/>
        <v>466</v>
      </c>
      <c r="G30" s="295">
        <f t="shared" si="14"/>
        <v>1008</v>
      </c>
      <c r="H30" s="321">
        <f t="shared" si="15"/>
        <v>633</v>
      </c>
      <c r="I30" s="323">
        <f t="shared" si="15"/>
        <v>375</v>
      </c>
      <c r="J30" s="297">
        <f t="shared" si="16"/>
        <v>909</v>
      </c>
      <c r="K30" s="298">
        <v>556</v>
      </c>
      <c r="L30" s="299">
        <v>353</v>
      </c>
      <c r="M30" s="297">
        <f t="shared" si="17"/>
        <v>928</v>
      </c>
      <c r="N30" s="298">
        <v>560</v>
      </c>
      <c r="O30" s="299">
        <v>368</v>
      </c>
    </row>
    <row r="31" spans="1:15" ht="25.5" customHeight="1">
      <c r="A31" s="303" t="s">
        <v>5</v>
      </c>
      <c r="B31" s="304"/>
      <c r="C31" s="305"/>
      <c r="D31" s="306">
        <f aca="true" t="shared" si="18" ref="D31:O31">SUM(D24:D30)</f>
        <v>30972</v>
      </c>
      <c r="E31" s="324">
        <f t="shared" si="18"/>
        <v>15503</v>
      </c>
      <c r="F31" s="325">
        <f t="shared" si="18"/>
        <v>15469</v>
      </c>
      <c r="G31" s="306">
        <f t="shared" si="18"/>
        <v>31106</v>
      </c>
      <c r="H31" s="324">
        <f t="shared" si="18"/>
        <v>15591</v>
      </c>
      <c r="I31" s="325">
        <f t="shared" si="18"/>
        <v>15515</v>
      </c>
      <c r="J31" s="308">
        <f t="shared" si="18"/>
        <v>31158</v>
      </c>
      <c r="K31" s="309">
        <f t="shared" si="18"/>
        <v>15620</v>
      </c>
      <c r="L31" s="310">
        <f t="shared" si="18"/>
        <v>15538</v>
      </c>
      <c r="M31" s="308">
        <f t="shared" si="18"/>
        <v>31585</v>
      </c>
      <c r="N31" s="309">
        <f t="shared" si="18"/>
        <v>15914</v>
      </c>
      <c r="O31" s="310">
        <f t="shared" si="18"/>
        <v>15671</v>
      </c>
    </row>
    <row r="32" ht="18" customHeight="1">
      <c r="C32" s="266" t="s">
        <v>114</v>
      </c>
    </row>
    <row r="33" ht="24" customHeight="1"/>
  </sheetData>
  <mergeCells count="3">
    <mergeCell ref="A3:C4"/>
    <mergeCell ref="M3:O3"/>
    <mergeCell ref="J3:L3"/>
  </mergeCells>
  <printOptions/>
  <pageMargins left="0.73" right="0.32" top="0.64" bottom="0.28" header="0.38" footer="0.23"/>
  <pageSetup horizontalDpi="600" verticalDpi="600" orientation="portrait" paperSize="9" r:id="rId1"/>
  <headerFooter alignWithMargins="0">
    <oddHeader>&amp;C&amp;"Times New Roman,Regular"- 15 -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R10" sqref="R10"/>
    </sheetView>
  </sheetViews>
  <sheetFormatPr defaultColWidth="9.140625" defaultRowHeight="12.75"/>
  <cols>
    <col min="1" max="1" width="26.57421875" style="373" customWidth="1"/>
    <col min="2" max="2" width="7.140625" style="373" customWidth="1"/>
    <col min="3" max="3" width="6.421875" style="373" customWidth="1"/>
    <col min="4" max="4" width="8.421875" style="373" customWidth="1"/>
    <col min="5" max="12" width="7.00390625" style="373" customWidth="1"/>
    <col min="13" max="13" width="6.28125" style="373" customWidth="1"/>
    <col min="14" max="15" width="5.8515625" style="373" customWidth="1"/>
    <col min="16" max="16" width="6.140625" style="373" customWidth="1"/>
    <col min="17" max="17" width="7.140625" style="373" customWidth="1"/>
    <col min="18" max="19" width="7.140625" style="372" customWidth="1"/>
    <col min="20" max="20" width="6.57421875" style="373" customWidth="1"/>
    <col min="21" max="16384" width="8.8515625" style="373" customWidth="1"/>
  </cols>
  <sheetData>
    <row r="1" spans="1:19" s="327" customFormat="1" ht="16.5" customHeight="1">
      <c r="A1" s="326" t="s">
        <v>407</v>
      </c>
      <c r="R1" s="328"/>
      <c r="S1" s="328"/>
    </row>
    <row r="2" spans="1:19" s="327" customFormat="1" ht="5.25" customHeight="1">
      <c r="A2" s="54"/>
      <c r="R2" s="328"/>
      <c r="S2" s="328"/>
    </row>
    <row r="3" spans="1:19" s="54" customFormat="1" ht="63" customHeight="1">
      <c r="A3" s="329" t="s">
        <v>17</v>
      </c>
      <c r="B3" s="330" t="s">
        <v>115</v>
      </c>
      <c r="C3" s="331"/>
      <c r="D3" s="331"/>
      <c r="E3" s="332" t="s">
        <v>116</v>
      </c>
      <c r="F3" s="332" t="s">
        <v>117</v>
      </c>
      <c r="G3" s="332" t="s">
        <v>118</v>
      </c>
      <c r="H3" s="332" t="s">
        <v>119</v>
      </c>
      <c r="I3" s="333" t="s">
        <v>120</v>
      </c>
      <c r="J3" s="332" t="s">
        <v>121</v>
      </c>
      <c r="K3" s="332" t="s">
        <v>122</v>
      </c>
      <c r="L3" s="334"/>
      <c r="M3" s="335" t="s">
        <v>123</v>
      </c>
      <c r="N3" s="335" t="s">
        <v>124</v>
      </c>
      <c r="O3" s="335" t="s">
        <v>125</v>
      </c>
      <c r="P3" s="335" t="s">
        <v>126</v>
      </c>
      <c r="Q3" s="336" t="s">
        <v>127</v>
      </c>
      <c r="R3" s="337"/>
      <c r="S3" s="338"/>
    </row>
    <row r="4" spans="1:19" s="54" customFormat="1" ht="15" customHeight="1">
      <c r="A4" s="94" t="s">
        <v>63</v>
      </c>
      <c r="B4" s="339">
        <v>35</v>
      </c>
      <c r="C4" s="340">
        <v>122</v>
      </c>
      <c r="D4" s="341">
        <v>503</v>
      </c>
      <c r="E4" s="342">
        <f>SUM(F4:L4)</f>
        <v>172</v>
      </c>
      <c r="F4" s="343">
        <v>50</v>
      </c>
      <c r="G4" s="343">
        <v>49</v>
      </c>
      <c r="H4" s="343">
        <v>23</v>
      </c>
      <c r="I4" s="343">
        <v>4</v>
      </c>
      <c r="J4" s="360" t="s">
        <v>131</v>
      </c>
      <c r="K4" s="343">
        <v>40</v>
      </c>
      <c r="L4" s="1148">
        <v>6</v>
      </c>
      <c r="M4" s="339">
        <v>28</v>
      </c>
      <c r="N4" s="340">
        <v>77</v>
      </c>
      <c r="O4" s="340">
        <v>44</v>
      </c>
      <c r="P4" s="340">
        <v>5</v>
      </c>
      <c r="Q4" s="345">
        <f aca="true" t="shared" si="0" ref="Q4:Q12">SUM(B4,C4,D4,E4,M4,N4,O4,P4)</f>
        <v>986</v>
      </c>
      <c r="R4" s="346"/>
      <c r="S4" s="338"/>
    </row>
    <row r="5" spans="1:19" s="54" customFormat="1" ht="15" customHeight="1">
      <c r="A5" s="88" t="s">
        <v>64</v>
      </c>
      <c r="B5" s="347">
        <v>29</v>
      </c>
      <c r="C5" s="347">
        <v>68</v>
      </c>
      <c r="D5" s="348">
        <v>342</v>
      </c>
      <c r="E5" s="349">
        <f aca="true" t="shared" si="1" ref="E5:E12">SUM(F5:L5)</f>
        <v>138</v>
      </c>
      <c r="F5" s="350">
        <v>79</v>
      </c>
      <c r="G5" s="350">
        <v>30</v>
      </c>
      <c r="H5" s="350">
        <v>17</v>
      </c>
      <c r="I5" s="350">
        <v>9</v>
      </c>
      <c r="J5" s="360" t="s">
        <v>131</v>
      </c>
      <c r="K5" s="350">
        <v>3</v>
      </c>
      <c r="L5" s="1149" t="s">
        <v>131</v>
      </c>
      <c r="M5" s="1152">
        <v>20</v>
      </c>
      <c r="N5" s="347">
        <v>64</v>
      </c>
      <c r="O5" s="347">
        <v>31</v>
      </c>
      <c r="P5" s="347">
        <v>9</v>
      </c>
      <c r="Q5" s="352">
        <f t="shared" si="0"/>
        <v>701</v>
      </c>
      <c r="R5" s="346"/>
      <c r="S5" s="338"/>
    </row>
    <row r="6" spans="1:19" s="54" customFormat="1" ht="15" customHeight="1">
      <c r="A6" s="88" t="s">
        <v>128</v>
      </c>
      <c r="B6" s="347">
        <v>27</v>
      </c>
      <c r="C6" s="347">
        <v>70</v>
      </c>
      <c r="D6" s="348">
        <v>381</v>
      </c>
      <c r="E6" s="349">
        <f t="shared" si="1"/>
        <v>162</v>
      </c>
      <c r="F6" s="350">
        <v>95</v>
      </c>
      <c r="G6" s="350">
        <v>24</v>
      </c>
      <c r="H6" s="350">
        <v>23</v>
      </c>
      <c r="I6" s="350">
        <v>16</v>
      </c>
      <c r="J6" s="350">
        <v>1</v>
      </c>
      <c r="K6" s="350">
        <v>3</v>
      </c>
      <c r="L6" s="1149" t="s">
        <v>131</v>
      </c>
      <c r="M6" s="1152">
        <v>23</v>
      </c>
      <c r="N6" s="347">
        <v>50</v>
      </c>
      <c r="O6" s="347">
        <v>47</v>
      </c>
      <c r="P6" s="347">
        <v>12</v>
      </c>
      <c r="Q6" s="352">
        <f t="shared" si="0"/>
        <v>772</v>
      </c>
      <c r="R6" s="346"/>
      <c r="S6" s="338"/>
    </row>
    <row r="7" spans="1:19" s="54" customFormat="1" ht="15" customHeight="1">
      <c r="A7" s="88" t="s">
        <v>67</v>
      </c>
      <c r="B7" s="347">
        <v>36</v>
      </c>
      <c r="C7" s="347">
        <v>82</v>
      </c>
      <c r="D7" s="348">
        <v>473</v>
      </c>
      <c r="E7" s="349">
        <f t="shared" si="1"/>
        <v>200</v>
      </c>
      <c r="F7" s="350">
        <v>104</v>
      </c>
      <c r="G7" s="350">
        <v>45</v>
      </c>
      <c r="H7" s="350">
        <v>21</v>
      </c>
      <c r="I7" s="350">
        <v>16</v>
      </c>
      <c r="J7" s="350">
        <v>8</v>
      </c>
      <c r="K7" s="350">
        <v>5</v>
      </c>
      <c r="L7" s="1150">
        <v>1</v>
      </c>
      <c r="M7" s="1152">
        <v>22</v>
      </c>
      <c r="N7" s="347">
        <v>67</v>
      </c>
      <c r="O7" s="347">
        <v>54</v>
      </c>
      <c r="P7" s="347">
        <v>4</v>
      </c>
      <c r="Q7" s="352">
        <f t="shared" si="0"/>
        <v>938</v>
      </c>
      <c r="R7" s="346"/>
      <c r="S7" s="338"/>
    </row>
    <row r="8" spans="1:19" s="54" customFormat="1" ht="15" customHeight="1">
      <c r="A8" s="88" t="s">
        <v>68</v>
      </c>
      <c r="B8" s="347">
        <v>30</v>
      </c>
      <c r="C8" s="347">
        <v>78</v>
      </c>
      <c r="D8" s="348">
        <v>374</v>
      </c>
      <c r="E8" s="349">
        <f t="shared" si="1"/>
        <v>129</v>
      </c>
      <c r="F8" s="350">
        <v>53</v>
      </c>
      <c r="G8" s="350">
        <v>21</v>
      </c>
      <c r="H8" s="350">
        <v>23</v>
      </c>
      <c r="I8" s="350">
        <v>12</v>
      </c>
      <c r="J8" s="350">
        <v>9</v>
      </c>
      <c r="K8" s="350">
        <v>10</v>
      </c>
      <c r="L8" s="1150">
        <v>1</v>
      </c>
      <c r="M8" s="1152">
        <v>21</v>
      </c>
      <c r="N8" s="347">
        <v>57</v>
      </c>
      <c r="O8" s="347">
        <v>46</v>
      </c>
      <c r="P8" s="348">
        <v>8</v>
      </c>
      <c r="Q8" s="352">
        <f t="shared" si="0"/>
        <v>743</v>
      </c>
      <c r="R8" s="346"/>
      <c r="S8" s="338"/>
    </row>
    <row r="9" spans="1:19" s="54" customFormat="1" ht="15" customHeight="1">
      <c r="A9" s="88" t="s">
        <v>69</v>
      </c>
      <c r="B9" s="347">
        <v>17</v>
      </c>
      <c r="C9" s="347">
        <v>53</v>
      </c>
      <c r="D9" s="348">
        <v>217</v>
      </c>
      <c r="E9" s="349">
        <f t="shared" si="1"/>
        <v>94</v>
      </c>
      <c r="F9" s="350">
        <v>31</v>
      </c>
      <c r="G9" s="350">
        <v>12</v>
      </c>
      <c r="H9" s="350">
        <v>14</v>
      </c>
      <c r="I9" s="350">
        <v>15</v>
      </c>
      <c r="J9" s="350">
        <v>11</v>
      </c>
      <c r="K9" s="350">
        <v>11</v>
      </c>
      <c r="L9" s="1149" t="s">
        <v>131</v>
      </c>
      <c r="M9" s="1152">
        <v>12</v>
      </c>
      <c r="N9" s="347">
        <v>42</v>
      </c>
      <c r="O9" s="347">
        <v>18</v>
      </c>
      <c r="P9" s="347">
        <v>4</v>
      </c>
      <c r="Q9" s="352">
        <f t="shared" si="0"/>
        <v>457</v>
      </c>
      <c r="R9" s="346"/>
      <c r="S9" s="338"/>
    </row>
    <row r="10" spans="1:19" s="54" customFormat="1" ht="15" customHeight="1">
      <c r="A10" s="88" t="s">
        <v>70</v>
      </c>
      <c r="B10" s="347">
        <v>74</v>
      </c>
      <c r="C10" s="347">
        <v>266</v>
      </c>
      <c r="D10" s="348">
        <v>1154</v>
      </c>
      <c r="E10" s="349">
        <f t="shared" si="1"/>
        <v>327</v>
      </c>
      <c r="F10" s="350">
        <v>122</v>
      </c>
      <c r="G10" s="350">
        <v>78</v>
      </c>
      <c r="H10" s="350">
        <v>50</v>
      </c>
      <c r="I10" s="350">
        <v>18</v>
      </c>
      <c r="J10" s="350">
        <v>20</v>
      </c>
      <c r="K10" s="350">
        <v>27</v>
      </c>
      <c r="L10" s="1151">
        <v>12</v>
      </c>
      <c r="M10" s="1152">
        <v>60</v>
      </c>
      <c r="N10" s="347">
        <v>152</v>
      </c>
      <c r="O10" s="347">
        <v>77</v>
      </c>
      <c r="P10" s="347">
        <v>46</v>
      </c>
      <c r="Q10" s="352">
        <f t="shared" si="0"/>
        <v>2156</v>
      </c>
      <c r="R10" s="346"/>
      <c r="S10" s="338"/>
    </row>
    <row r="11" spans="1:19" s="54" customFormat="1" ht="15" customHeight="1">
      <c r="A11" s="88" t="s">
        <v>71</v>
      </c>
      <c r="B11" s="347">
        <v>26</v>
      </c>
      <c r="C11" s="347">
        <v>88</v>
      </c>
      <c r="D11" s="348">
        <v>322</v>
      </c>
      <c r="E11" s="349">
        <f t="shared" si="1"/>
        <v>113</v>
      </c>
      <c r="F11" s="350">
        <v>44</v>
      </c>
      <c r="G11" s="350">
        <v>29</v>
      </c>
      <c r="H11" s="350">
        <v>17</v>
      </c>
      <c r="I11" s="350">
        <v>10</v>
      </c>
      <c r="J11" s="350">
        <v>7</v>
      </c>
      <c r="K11" s="350">
        <v>4</v>
      </c>
      <c r="L11" s="1151">
        <v>2</v>
      </c>
      <c r="M11" s="1152">
        <v>21</v>
      </c>
      <c r="N11" s="347">
        <v>35</v>
      </c>
      <c r="O11" s="347">
        <v>37</v>
      </c>
      <c r="P11" s="347">
        <v>21</v>
      </c>
      <c r="Q11" s="352">
        <f t="shared" si="0"/>
        <v>663</v>
      </c>
      <c r="R11" s="346"/>
      <c r="S11" s="338"/>
    </row>
    <row r="12" spans="1:19" s="54" customFormat="1" ht="15" customHeight="1">
      <c r="A12" s="88" t="s">
        <v>72</v>
      </c>
      <c r="B12" s="347">
        <v>15</v>
      </c>
      <c r="C12" s="347">
        <v>18</v>
      </c>
      <c r="D12" s="348">
        <v>163</v>
      </c>
      <c r="E12" s="349">
        <f t="shared" si="1"/>
        <v>35</v>
      </c>
      <c r="F12" s="350">
        <v>20</v>
      </c>
      <c r="G12" s="1151">
        <v>2</v>
      </c>
      <c r="H12" s="1153">
        <v>6</v>
      </c>
      <c r="I12" s="360" t="s">
        <v>131</v>
      </c>
      <c r="J12" s="350">
        <v>7</v>
      </c>
      <c r="K12" s="360" t="s">
        <v>131</v>
      </c>
      <c r="L12" s="1149" t="s">
        <v>131</v>
      </c>
      <c r="M12" s="1147">
        <v>9</v>
      </c>
      <c r="N12" s="347">
        <v>22</v>
      </c>
      <c r="O12" s="347">
        <v>21</v>
      </c>
      <c r="P12" s="354">
        <v>2</v>
      </c>
      <c r="Q12" s="352">
        <f t="shared" si="0"/>
        <v>285</v>
      </c>
      <c r="R12" s="346"/>
      <c r="S12" s="338"/>
    </row>
    <row r="13" spans="1:19" s="54" customFormat="1" ht="16.5" customHeight="1">
      <c r="A13" s="94" t="s">
        <v>129</v>
      </c>
      <c r="B13" s="340">
        <f>SUM(B4:B12)</f>
        <v>289</v>
      </c>
      <c r="C13" s="340">
        <f aca="true" t="shared" si="2" ref="C13:Q13">SUM(C4:C12)</f>
        <v>845</v>
      </c>
      <c r="D13" s="340">
        <f t="shared" si="2"/>
        <v>3929</v>
      </c>
      <c r="E13" s="342">
        <f>SUM(E4:E12)</f>
        <v>1370</v>
      </c>
      <c r="F13" s="355">
        <f t="shared" si="2"/>
        <v>598</v>
      </c>
      <c r="G13" s="355">
        <f t="shared" si="2"/>
        <v>290</v>
      </c>
      <c r="H13" s="355">
        <f t="shared" si="2"/>
        <v>194</v>
      </c>
      <c r="I13" s="356">
        <f t="shared" si="2"/>
        <v>100</v>
      </c>
      <c r="J13" s="355">
        <f t="shared" si="2"/>
        <v>63</v>
      </c>
      <c r="K13" s="355">
        <f t="shared" si="2"/>
        <v>103</v>
      </c>
      <c r="L13" s="340">
        <f t="shared" si="2"/>
        <v>22</v>
      </c>
      <c r="M13" s="340">
        <f t="shared" si="2"/>
        <v>216</v>
      </c>
      <c r="N13" s="340">
        <f t="shared" si="2"/>
        <v>566</v>
      </c>
      <c r="O13" s="340">
        <f t="shared" si="2"/>
        <v>375</v>
      </c>
      <c r="P13" s="340">
        <f t="shared" si="2"/>
        <v>111</v>
      </c>
      <c r="Q13" s="340">
        <f t="shared" si="2"/>
        <v>7701</v>
      </c>
      <c r="R13" s="357"/>
      <c r="S13" s="338"/>
    </row>
    <row r="14" spans="1:19" s="54" customFormat="1" ht="16.5" customHeight="1">
      <c r="A14" s="88" t="s">
        <v>130</v>
      </c>
      <c r="B14" s="347">
        <v>13</v>
      </c>
      <c r="C14" s="347">
        <v>24</v>
      </c>
      <c r="D14" s="348">
        <v>196</v>
      </c>
      <c r="E14" s="358">
        <f>SUM(F14:L14)</f>
        <v>0</v>
      </c>
      <c r="F14" s="359" t="s">
        <v>131</v>
      </c>
      <c r="G14" s="359" t="s">
        <v>131</v>
      </c>
      <c r="H14" s="359" t="s">
        <v>131</v>
      </c>
      <c r="I14" s="360" t="s">
        <v>131</v>
      </c>
      <c r="J14" s="359" t="s">
        <v>131</v>
      </c>
      <c r="K14" s="359" t="s">
        <v>131</v>
      </c>
      <c r="L14" s="361">
        <v>0</v>
      </c>
      <c r="M14" s="347">
        <v>13</v>
      </c>
      <c r="N14" s="347">
        <v>48</v>
      </c>
      <c r="O14" s="347">
        <v>49</v>
      </c>
      <c r="P14" s="347">
        <v>28</v>
      </c>
      <c r="Q14" s="362">
        <f>SUM(B14,C14,D14,E14,M14,N14,O14,P14)</f>
        <v>371</v>
      </c>
      <c r="R14" s="346"/>
      <c r="S14" s="338"/>
    </row>
    <row r="15" spans="1:19" s="54" customFormat="1" ht="21" customHeight="1">
      <c r="A15" s="97" t="s">
        <v>98</v>
      </c>
      <c r="B15" s="363">
        <v>302</v>
      </c>
      <c r="C15" s="363">
        <v>869</v>
      </c>
      <c r="D15" s="364">
        <v>4125</v>
      </c>
      <c r="E15" s="343">
        <f>SUM(F15:L15)</f>
        <v>1370</v>
      </c>
      <c r="F15" s="343">
        <f aca="true" t="shared" si="3" ref="F15:L15">SUM(F13:F14)</f>
        <v>598</v>
      </c>
      <c r="G15" s="343">
        <f t="shared" si="3"/>
        <v>290</v>
      </c>
      <c r="H15" s="343">
        <f t="shared" si="3"/>
        <v>194</v>
      </c>
      <c r="I15" s="343">
        <f t="shared" si="3"/>
        <v>100</v>
      </c>
      <c r="J15" s="343">
        <f t="shared" si="3"/>
        <v>63</v>
      </c>
      <c r="K15" s="343">
        <f t="shared" si="3"/>
        <v>103</v>
      </c>
      <c r="L15" s="365">
        <f t="shared" si="3"/>
        <v>22</v>
      </c>
      <c r="M15" s="363">
        <v>229</v>
      </c>
      <c r="N15" s="363">
        <v>614</v>
      </c>
      <c r="O15" s="363">
        <v>424</v>
      </c>
      <c r="P15" s="363">
        <v>139</v>
      </c>
      <c r="Q15" s="366">
        <f>SUM(B15,C15,D15,E15,M15,N15,O15,P15)</f>
        <v>8072</v>
      </c>
      <c r="R15" s="346"/>
      <c r="S15" s="338"/>
    </row>
    <row r="16" spans="1:18" ht="9" customHeight="1">
      <c r="A16" s="367"/>
      <c r="B16" s="368"/>
      <c r="C16" s="368"/>
      <c r="D16" s="369"/>
      <c r="E16" s="368"/>
      <c r="F16" s="368"/>
      <c r="G16" s="368"/>
      <c r="H16" s="368"/>
      <c r="I16" s="368"/>
      <c r="J16" s="368"/>
      <c r="K16" s="368"/>
      <c r="L16" s="369"/>
      <c r="M16" s="368"/>
      <c r="N16" s="368"/>
      <c r="O16" s="368"/>
      <c r="P16" s="368"/>
      <c r="Q16" s="370"/>
      <c r="R16" s="371"/>
    </row>
    <row r="17" spans="1:18" ht="20.25" customHeight="1">
      <c r="A17" s="326" t="s">
        <v>408</v>
      </c>
      <c r="B17" s="327"/>
      <c r="C17" s="327"/>
      <c r="D17" s="327"/>
      <c r="E17" s="327"/>
      <c r="F17" s="327"/>
      <c r="G17" s="327"/>
      <c r="H17" s="327"/>
      <c r="I17" s="327"/>
      <c r="J17" s="374"/>
      <c r="K17" s="374"/>
      <c r="L17" s="374"/>
      <c r="M17" s="374"/>
      <c r="N17" s="375"/>
      <c r="O17" s="375"/>
      <c r="P17" s="374"/>
      <c r="Q17" s="376"/>
      <c r="R17" s="337"/>
    </row>
    <row r="18" spans="1:18" ht="5.25" customHeight="1">
      <c r="A18" s="377"/>
      <c r="B18" s="327"/>
      <c r="C18" s="327"/>
      <c r="D18" s="327"/>
      <c r="E18" s="327"/>
      <c r="F18" s="327"/>
      <c r="G18" s="327"/>
      <c r="H18" s="327"/>
      <c r="I18" s="327"/>
      <c r="J18" s="378"/>
      <c r="K18" s="378"/>
      <c r="L18" s="378"/>
      <c r="M18" s="378"/>
      <c r="N18" s="379"/>
      <c r="O18" s="379"/>
      <c r="P18" s="378"/>
      <c r="Q18" s="380"/>
      <c r="R18" s="337"/>
    </row>
    <row r="19" spans="1:18" ht="63" customHeight="1">
      <c r="A19" s="329" t="s">
        <v>34</v>
      </c>
      <c r="B19" s="330" t="s">
        <v>115</v>
      </c>
      <c r="C19" s="331"/>
      <c r="D19" s="331"/>
      <c r="E19" s="332" t="s">
        <v>116</v>
      </c>
      <c r="F19" s="332" t="s">
        <v>117</v>
      </c>
      <c r="G19" s="332" t="s">
        <v>118</v>
      </c>
      <c r="H19" s="332" t="s">
        <v>119</v>
      </c>
      <c r="I19" s="333" t="s">
        <v>120</v>
      </c>
      <c r="J19" s="332" t="s">
        <v>121</v>
      </c>
      <c r="K19" s="332" t="s">
        <v>122</v>
      </c>
      <c r="L19" s="334"/>
      <c r="M19" s="335" t="s">
        <v>123</v>
      </c>
      <c r="N19" s="335" t="s">
        <v>124</v>
      </c>
      <c r="O19" s="335" t="s">
        <v>125</v>
      </c>
      <c r="P19" s="335" t="s">
        <v>126</v>
      </c>
      <c r="Q19" s="336" t="s">
        <v>127</v>
      </c>
      <c r="R19" s="371"/>
    </row>
    <row r="20" spans="1:19" s="2" customFormat="1" ht="18.75" customHeight="1">
      <c r="A20" s="94" t="s">
        <v>35</v>
      </c>
      <c r="B20" s="340">
        <v>93</v>
      </c>
      <c r="C20" s="340">
        <v>265</v>
      </c>
      <c r="D20" s="341">
        <v>1264</v>
      </c>
      <c r="E20" s="342">
        <f>SUM(F20:L20)</f>
        <v>481</v>
      </c>
      <c r="F20" s="343">
        <v>226</v>
      </c>
      <c r="G20" s="343">
        <v>107</v>
      </c>
      <c r="H20" s="343">
        <v>64</v>
      </c>
      <c r="I20" s="343">
        <v>29</v>
      </c>
      <c r="J20" s="343">
        <v>1</v>
      </c>
      <c r="K20" s="343">
        <v>48</v>
      </c>
      <c r="L20" s="344">
        <v>6</v>
      </c>
      <c r="M20" s="340">
        <v>73</v>
      </c>
      <c r="N20" s="340">
        <v>196</v>
      </c>
      <c r="O20" s="340">
        <v>125</v>
      </c>
      <c r="P20" s="340">
        <v>26</v>
      </c>
      <c r="Q20" s="345">
        <f aca="true" t="shared" si="4" ref="Q20:Q25">SUM(B20,C20,D20,E20,M20,N20,O20,P20)</f>
        <v>2523</v>
      </c>
      <c r="R20" s="381"/>
      <c r="S20" s="382"/>
    </row>
    <row r="21" spans="1:19" s="2" customFormat="1" ht="18.75" customHeight="1">
      <c r="A21" s="88" t="s">
        <v>36</v>
      </c>
      <c r="B21" s="347">
        <v>78</v>
      </c>
      <c r="C21" s="347">
        <v>214</v>
      </c>
      <c r="D21" s="348">
        <v>1035</v>
      </c>
      <c r="E21" s="349">
        <f>SUM(F21:L21)</f>
        <v>372</v>
      </c>
      <c r="F21" s="350">
        <v>166</v>
      </c>
      <c r="G21" s="350">
        <v>94</v>
      </c>
      <c r="H21" s="350">
        <v>50</v>
      </c>
      <c r="I21" s="350">
        <v>26</v>
      </c>
      <c r="J21" s="383">
        <v>19</v>
      </c>
      <c r="K21" s="350">
        <v>11</v>
      </c>
      <c r="L21" s="353">
        <v>6</v>
      </c>
      <c r="M21" s="347">
        <v>54</v>
      </c>
      <c r="N21" s="347">
        <v>126</v>
      </c>
      <c r="O21" s="347">
        <v>104</v>
      </c>
      <c r="P21" s="347">
        <v>35</v>
      </c>
      <c r="Q21" s="352">
        <f t="shared" si="4"/>
        <v>2018</v>
      </c>
      <c r="R21" s="381"/>
      <c r="S21" s="382"/>
    </row>
    <row r="22" spans="1:19" s="2" customFormat="1" ht="18.75" customHeight="1">
      <c r="A22" s="88" t="s">
        <v>37</v>
      </c>
      <c r="B22" s="347">
        <v>66</v>
      </c>
      <c r="C22" s="347">
        <v>199</v>
      </c>
      <c r="D22" s="348">
        <v>906</v>
      </c>
      <c r="E22" s="349">
        <f>SUM(F22:L22)</f>
        <v>298</v>
      </c>
      <c r="F22" s="350">
        <v>112</v>
      </c>
      <c r="G22" s="350">
        <v>48</v>
      </c>
      <c r="H22" s="350">
        <v>47</v>
      </c>
      <c r="I22" s="350">
        <v>32</v>
      </c>
      <c r="J22" s="383">
        <v>23</v>
      </c>
      <c r="K22" s="350">
        <v>32</v>
      </c>
      <c r="L22" s="353">
        <v>4</v>
      </c>
      <c r="M22" s="347">
        <v>50</v>
      </c>
      <c r="N22" s="347">
        <v>152</v>
      </c>
      <c r="O22" s="347">
        <v>92</v>
      </c>
      <c r="P22" s="347">
        <v>28</v>
      </c>
      <c r="Q22" s="352">
        <f t="shared" si="4"/>
        <v>1791</v>
      </c>
      <c r="R22" s="381"/>
      <c r="S22" s="382"/>
    </row>
    <row r="23" spans="1:19" s="2" customFormat="1" ht="29.25" customHeight="1">
      <c r="A23" s="997" t="s">
        <v>266</v>
      </c>
      <c r="B23" s="347">
        <v>52</v>
      </c>
      <c r="C23" s="347">
        <v>167</v>
      </c>
      <c r="D23" s="348">
        <v>724</v>
      </c>
      <c r="E23" s="349">
        <f>SUM(F23:L23)</f>
        <v>219</v>
      </c>
      <c r="F23" s="350">
        <v>94</v>
      </c>
      <c r="G23" s="350">
        <v>41</v>
      </c>
      <c r="H23" s="350">
        <v>33</v>
      </c>
      <c r="I23" s="350">
        <v>13</v>
      </c>
      <c r="J23" s="350">
        <v>20</v>
      </c>
      <c r="K23" s="350">
        <v>12</v>
      </c>
      <c r="L23" s="384">
        <v>6</v>
      </c>
      <c r="M23" s="347">
        <v>39</v>
      </c>
      <c r="N23" s="347">
        <v>92</v>
      </c>
      <c r="O23" s="347">
        <v>54</v>
      </c>
      <c r="P23" s="347">
        <v>22</v>
      </c>
      <c r="Q23" s="352">
        <f t="shared" si="4"/>
        <v>1369</v>
      </c>
      <c r="R23" s="381"/>
      <c r="S23" s="382"/>
    </row>
    <row r="24" spans="1:19" s="2" customFormat="1" ht="20.25" customHeight="1">
      <c r="A24" s="88" t="s">
        <v>39</v>
      </c>
      <c r="B24" s="347">
        <v>13</v>
      </c>
      <c r="C24" s="347">
        <v>24</v>
      </c>
      <c r="D24" s="348">
        <v>196</v>
      </c>
      <c r="E24" s="351">
        <v>0</v>
      </c>
      <c r="F24" s="351">
        <v>0</v>
      </c>
      <c r="G24" s="351">
        <v>0</v>
      </c>
      <c r="H24" s="351">
        <v>0</v>
      </c>
      <c r="I24" s="351">
        <v>0</v>
      </c>
      <c r="J24" s="351">
        <v>0</v>
      </c>
      <c r="K24" s="351">
        <v>0</v>
      </c>
      <c r="L24" s="1146">
        <v>0</v>
      </c>
      <c r="M24" s="1147">
        <v>13</v>
      </c>
      <c r="N24" s="347">
        <v>48</v>
      </c>
      <c r="O24" s="347">
        <v>49</v>
      </c>
      <c r="P24" s="348">
        <v>28</v>
      </c>
      <c r="Q24" s="352">
        <f t="shared" si="4"/>
        <v>371</v>
      </c>
      <c r="R24" s="381"/>
      <c r="S24" s="382"/>
    </row>
    <row r="25" spans="1:19" s="2" customFormat="1" ht="24.75" customHeight="1">
      <c r="A25" s="97" t="s">
        <v>56</v>
      </c>
      <c r="B25" s="385">
        <f aca="true" t="shared" si="5" ref="B25:P25">SUM(B20:B24)</f>
        <v>302</v>
      </c>
      <c r="C25" s="363">
        <f t="shared" si="5"/>
        <v>869</v>
      </c>
      <c r="D25" s="363">
        <f t="shared" si="5"/>
        <v>4125</v>
      </c>
      <c r="E25" s="386">
        <f t="shared" si="5"/>
        <v>1370</v>
      </c>
      <c r="F25" s="387">
        <f t="shared" si="5"/>
        <v>598</v>
      </c>
      <c r="G25" s="387">
        <f t="shared" si="5"/>
        <v>290</v>
      </c>
      <c r="H25" s="387">
        <f t="shared" si="5"/>
        <v>194</v>
      </c>
      <c r="I25" s="387">
        <f t="shared" si="5"/>
        <v>100</v>
      </c>
      <c r="J25" s="387">
        <f t="shared" si="5"/>
        <v>63</v>
      </c>
      <c r="K25" s="387">
        <f t="shared" si="5"/>
        <v>103</v>
      </c>
      <c r="L25" s="388">
        <f t="shared" si="5"/>
        <v>22</v>
      </c>
      <c r="M25" s="389">
        <f t="shared" si="5"/>
        <v>229</v>
      </c>
      <c r="N25" s="385">
        <f t="shared" si="5"/>
        <v>614</v>
      </c>
      <c r="O25" s="385">
        <f t="shared" si="5"/>
        <v>424</v>
      </c>
      <c r="P25" s="385">
        <f t="shared" si="5"/>
        <v>139</v>
      </c>
      <c r="Q25" s="366">
        <f t="shared" si="4"/>
        <v>8072</v>
      </c>
      <c r="R25" s="381"/>
      <c r="S25" s="382"/>
    </row>
    <row r="26" spans="1:18" ht="6.75" customHeight="1">
      <c r="A26" s="390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2"/>
      <c r="R26" s="371"/>
    </row>
    <row r="27" spans="1:19" ht="12.75">
      <c r="A27" s="54" t="s">
        <v>132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4"/>
      <c r="S27" s="394"/>
    </row>
    <row r="28" spans="2:19" ht="12"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4"/>
      <c r="S28" s="394"/>
    </row>
    <row r="29" spans="2:19" ht="12"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4"/>
      <c r="S29" s="394"/>
    </row>
    <row r="30" spans="2:19" ht="12"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4"/>
      <c r="S30" s="394"/>
    </row>
  </sheetData>
  <printOptions/>
  <pageMargins left="0.32" right="0.24" top="0.7" bottom="0.33" header="0.3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P8" sqref="P8"/>
    </sheetView>
  </sheetViews>
  <sheetFormatPr defaultColWidth="9.140625" defaultRowHeight="12.75"/>
  <cols>
    <col min="1" max="1" width="12.140625" style="143" customWidth="1"/>
    <col min="2" max="2" width="12.421875" style="143" customWidth="1"/>
    <col min="3" max="3" width="10.7109375" style="143" customWidth="1"/>
    <col min="4" max="6" width="10.7109375" style="143" hidden="1" customWidth="1"/>
    <col min="7" max="8" width="10.7109375" style="143" customWidth="1"/>
    <col min="9" max="9" width="10.00390625" style="143" customWidth="1"/>
    <col min="10" max="12" width="10.7109375" style="143" customWidth="1"/>
    <col min="13" max="16384" width="9.140625" style="143" customWidth="1"/>
  </cols>
  <sheetData>
    <row r="1" spans="1:16" ht="23.25" customHeight="1">
      <c r="A1" s="395" t="s">
        <v>406</v>
      </c>
      <c r="B1" s="396"/>
      <c r="C1" s="396"/>
      <c r="D1" s="396"/>
      <c r="E1" s="396"/>
      <c r="F1" s="396"/>
      <c r="G1"/>
      <c r="H1"/>
      <c r="I1"/>
      <c r="J1" s="397"/>
      <c r="K1" s="397"/>
      <c r="L1" s="397"/>
      <c r="P1"/>
    </row>
    <row r="2" spans="1:12" ht="3.75" customHeight="1">
      <c r="A2" s="395"/>
      <c r="B2" s="396"/>
      <c r="C2" s="396"/>
      <c r="D2" s="396"/>
      <c r="E2" s="396"/>
      <c r="F2" s="396"/>
      <c r="K2" s="398"/>
      <c r="L2" s="398"/>
    </row>
    <row r="3" spans="1:6" ht="18.75" customHeight="1" thickBot="1">
      <c r="A3" s="399" t="s">
        <v>133</v>
      </c>
      <c r="B3" s="396"/>
      <c r="C3" s="396"/>
      <c r="D3" s="396"/>
      <c r="E3" s="396"/>
      <c r="F3" s="396"/>
    </row>
    <row r="4" spans="1:15" ht="23.25" customHeight="1">
      <c r="A4" s="1385"/>
      <c r="B4" s="1386"/>
      <c r="C4" s="1387"/>
      <c r="D4" s="400">
        <v>2004</v>
      </c>
      <c r="E4" s="401"/>
      <c r="F4" s="402"/>
      <c r="G4" s="400">
        <v>2005</v>
      </c>
      <c r="H4" s="401"/>
      <c r="I4" s="402"/>
      <c r="J4" s="400">
        <v>2006</v>
      </c>
      <c r="K4" s="401"/>
      <c r="L4" s="402"/>
      <c r="M4" s="1391">
        <v>2007</v>
      </c>
      <c r="N4" s="1392"/>
      <c r="O4" s="1393"/>
    </row>
    <row r="5" spans="1:15" ht="27" customHeight="1">
      <c r="A5" s="1388"/>
      <c r="B5" s="1389"/>
      <c r="C5" s="1390"/>
      <c r="D5" s="403" t="s">
        <v>134</v>
      </c>
      <c r="E5" s="404" t="s">
        <v>135</v>
      </c>
      <c r="F5" s="405" t="s">
        <v>136</v>
      </c>
      <c r="G5" s="403" t="s">
        <v>134</v>
      </c>
      <c r="H5" s="404" t="s">
        <v>135</v>
      </c>
      <c r="I5" s="405" t="s">
        <v>136</v>
      </c>
      <c r="J5" s="403" t="s">
        <v>134</v>
      </c>
      <c r="K5" s="404" t="s">
        <v>135</v>
      </c>
      <c r="L5" s="405" t="s">
        <v>136</v>
      </c>
      <c r="M5" s="403" t="s">
        <v>134</v>
      </c>
      <c r="N5" s="404" t="s">
        <v>135</v>
      </c>
      <c r="O5" s="405" t="s">
        <v>136</v>
      </c>
    </row>
    <row r="6" spans="1:15" ht="44.25" customHeight="1">
      <c r="A6" s="406" t="s">
        <v>109</v>
      </c>
      <c r="B6" s="407"/>
      <c r="C6" s="408" t="s">
        <v>5</v>
      </c>
      <c r="D6" s="409">
        <f>SUM(D7:D8)</f>
        <v>27332</v>
      </c>
      <c r="E6" s="410">
        <f>SUM(E7:E8)</f>
        <v>17217</v>
      </c>
      <c r="F6" s="411">
        <f aca="true" t="shared" si="0" ref="F6:F14">E6/D6*100</f>
        <v>62.992097175471976</v>
      </c>
      <c r="G6" s="409">
        <f>SUM(G7:G8)</f>
        <v>27117</v>
      </c>
      <c r="H6" s="410">
        <f>SUM(H7:H8)</f>
        <v>17596</v>
      </c>
      <c r="I6" s="411">
        <f aca="true" t="shared" si="1" ref="I6:I14">H6/G6*100</f>
        <v>64.88918390677435</v>
      </c>
      <c r="J6" s="409">
        <f>SUM(J7:J8)</f>
        <v>25007</v>
      </c>
      <c r="K6" s="410">
        <f>SUM(K7:K8)</f>
        <v>16987</v>
      </c>
      <c r="L6" s="411">
        <f>K6/J6*100</f>
        <v>67.92897988563202</v>
      </c>
      <c r="M6" s="409">
        <f>SUM(M7:M8)</f>
        <v>24050</v>
      </c>
      <c r="N6" s="410">
        <f>SUM(N7:N8)</f>
        <v>15915</v>
      </c>
      <c r="O6" s="411">
        <f aca="true" t="shared" si="2" ref="O6:O14">N6/M6*100</f>
        <v>66.17463617463616</v>
      </c>
    </row>
    <row r="7" spans="1:15" ht="44.25" customHeight="1">
      <c r="A7" s="412" t="s">
        <v>106</v>
      </c>
      <c r="B7" s="413"/>
      <c r="C7" s="408" t="s">
        <v>47</v>
      </c>
      <c r="D7" s="414">
        <f>D10+D13</f>
        <v>14084</v>
      </c>
      <c r="E7" s="410">
        <f>E10+E13</f>
        <v>8152</v>
      </c>
      <c r="F7" s="411">
        <f t="shared" si="0"/>
        <v>57.881283726214136</v>
      </c>
      <c r="G7" s="414">
        <f>G10+G13</f>
        <v>13981</v>
      </c>
      <c r="H7" s="410">
        <f>H10+H13</f>
        <v>8244</v>
      </c>
      <c r="I7" s="411">
        <f t="shared" si="1"/>
        <v>58.96573921750947</v>
      </c>
      <c r="J7" s="414">
        <f>J10+J13</f>
        <v>12942</v>
      </c>
      <c r="K7" s="410">
        <f>K10+K13</f>
        <v>8028</v>
      </c>
      <c r="L7" s="411">
        <f>K7/J7*100</f>
        <v>62.03059805285118</v>
      </c>
      <c r="M7" s="414">
        <f>M10+M13</f>
        <v>12368</v>
      </c>
      <c r="N7" s="410">
        <f>N10+N13</f>
        <v>7428</v>
      </c>
      <c r="O7" s="411">
        <f t="shared" si="2"/>
        <v>60.058214747736095</v>
      </c>
    </row>
    <row r="8" spans="1:15" ht="44.25" customHeight="1">
      <c r="A8" s="415" t="s">
        <v>106</v>
      </c>
      <c r="B8" s="416"/>
      <c r="C8" s="417" t="s">
        <v>48</v>
      </c>
      <c r="D8" s="418">
        <f>D11+D14</f>
        <v>13248</v>
      </c>
      <c r="E8" s="419">
        <f>E11+E14</f>
        <v>9065</v>
      </c>
      <c r="F8" s="420">
        <f t="shared" si="0"/>
        <v>68.425422705314</v>
      </c>
      <c r="G8" s="418">
        <f>G11+G14</f>
        <v>13136</v>
      </c>
      <c r="H8" s="419">
        <f>H11+H14</f>
        <v>9352</v>
      </c>
      <c r="I8" s="420">
        <f t="shared" si="1"/>
        <v>71.19366626065774</v>
      </c>
      <c r="J8" s="418">
        <f>J11+J14</f>
        <v>12065</v>
      </c>
      <c r="K8" s="419">
        <f>K11+K14</f>
        <v>8959</v>
      </c>
      <c r="L8" s="420">
        <f>K8/J8*100</f>
        <v>74.25611272275177</v>
      </c>
      <c r="M8" s="418">
        <f>M11+M14</f>
        <v>11682</v>
      </c>
      <c r="N8" s="419">
        <f>N11+N14</f>
        <v>8487</v>
      </c>
      <c r="O8" s="420">
        <f t="shared" si="2"/>
        <v>72.65023112480739</v>
      </c>
    </row>
    <row r="9" spans="1:15" ht="44.25" customHeight="1">
      <c r="A9" s="421" t="s">
        <v>2</v>
      </c>
      <c r="B9" s="422"/>
      <c r="C9" s="423" t="s">
        <v>5</v>
      </c>
      <c r="D9" s="409">
        <f>SUM(D10:D11)</f>
        <v>26318</v>
      </c>
      <c r="E9" s="410">
        <f>SUM(E10:E11)</f>
        <v>16681</v>
      </c>
      <c r="F9" s="411">
        <f t="shared" si="0"/>
        <v>63.382475872026745</v>
      </c>
      <c r="G9" s="409">
        <f>SUM(G10:G11)</f>
        <v>26038</v>
      </c>
      <c r="H9" s="410">
        <f>SUM(H10:H11)</f>
        <v>16993</v>
      </c>
      <c r="I9" s="411">
        <f t="shared" si="1"/>
        <v>65.26230893309778</v>
      </c>
      <c r="J9" s="409">
        <f>SUM(J10:J11)</f>
        <v>23986</v>
      </c>
      <c r="K9" s="410">
        <f>SUM(K10:K11)</f>
        <v>16424</v>
      </c>
      <c r="L9" s="411">
        <f>K9/J9*100</f>
        <v>68.473276077712</v>
      </c>
      <c r="M9" s="409">
        <v>23078</v>
      </c>
      <c r="N9" s="410">
        <f>SUM(N10:N11)</f>
        <v>15431</v>
      </c>
      <c r="O9" s="411">
        <f t="shared" si="2"/>
        <v>66.86454632117169</v>
      </c>
    </row>
    <row r="10" spans="1:15" ht="44.25" customHeight="1">
      <c r="A10" s="424"/>
      <c r="B10" s="425"/>
      <c r="C10" s="408" t="s">
        <v>47</v>
      </c>
      <c r="D10" s="414">
        <v>13548</v>
      </c>
      <c r="E10" s="426">
        <v>7895</v>
      </c>
      <c r="F10" s="411">
        <f t="shared" si="0"/>
        <v>58.27428402716268</v>
      </c>
      <c r="G10" s="414">
        <v>13438</v>
      </c>
      <c r="H10" s="426">
        <v>7970</v>
      </c>
      <c r="I10" s="411">
        <f t="shared" si="1"/>
        <v>59.30942104479834</v>
      </c>
      <c r="J10" s="414">
        <v>12426</v>
      </c>
      <c r="K10" s="426">
        <v>7787</v>
      </c>
      <c r="L10" s="411">
        <v>62.7</v>
      </c>
      <c r="M10" s="414">
        <v>11877</v>
      </c>
      <c r="N10" s="426">
        <v>7222</v>
      </c>
      <c r="O10" s="411">
        <f t="shared" si="2"/>
        <v>60.80660099351688</v>
      </c>
    </row>
    <row r="11" spans="1:15" ht="44.25" customHeight="1">
      <c r="A11" s="427"/>
      <c r="B11" s="428" t="s">
        <v>106</v>
      </c>
      <c r="C11" s="417" t="s">
        <v>48</v>
      </c>
      <c r="D11" s="418">
        <v>12770</v>
      </c>
      <c r="E11" s="429">
        <v>8786</v>
      </c>
      <c r="F11" s="420">
        <f t="shared" si="0"/>
        <v>68.80187940485513</v>
      </c>
      <c r="G11" s="418">
        <v>12600</v>
      </c>
      <c r="H11" s="429">
        <v>9023</v>
      </c>
      <c r="I11" s="420">
        <f t="shared" si="1"/>
        <v>71.61111111111111</v>
      </c>
      <c r="J11" s="418">
        <v>11560</v>
      </c>
      <c r="K11" s="429">
        <v>8637</v>
      </c>
      <c r="L11" s="420">
        <v>74.7</v>
      </c>
      <c r="M11" s="418">
        <v>11201</v>
      </c>
      <c r="N11" s="429">
        <v>8209</v>
      </c>
      <c r="O11" s="420">
        <f t="shared" si="2"/>
        <v>73.28809927685029</v>
      </c>
    </row>
    <row r="12" spans="1:15" ht="44.25" customHeight="1">
      <c r="A12" s="430" t="s">
        <v>137</v>
      </c>
      <c r="B12" s="431"/>
      <c r="C12" s="408" t="s">
        <v>5</v>
      </c>
      <c r="D12" s="409">
        <f>SUM(D13:D14)</f>
        <v>1014</v>
      </c>
      <c r="E12" s="410">
        <f>SUM(E13:E14)</f>
        <v>536</v>
      </c>
      <c r="F12" s="411">
        <f t="shared" si="0"/>
        <v>52.85996055226825</v>
      </c>
      <c r="G12" s="409">
        <f>SUM(G13:G14)</f>
        <v>1079</v>
      </c>
      <c r="H12" s="410">
        <f>SUM(H13:H14)</f>
        <v>603</v>
      </c>
      <c r="I12" s="411">
        <f t="shared" si="1"/>
        <v>55.88507877664504</v>
      </c>
      <c r="J12" s="409">
        <f>SUM(J13:J14)</f>
        <v>1021</v>
      </c>
      <c r="K12" s="410">
        <f>SUM(K13:K14)</f>
        <v>563</v>
      </c>
      <c r="L12" s="411">
        <f>K12/J12*100</f>
        <v>55.14201762977473</v>
      </c>
      <c r="M12" s="1001">
        <f>SUM(M13:M14)</f>
        <v>972</v>
      </c>
      <c r="N12" s="1002">
        <f>SUM(N13:N14)</f>
        <v>484</v>
      </c>
      <c r="O12" s="1004">
        <f t="shared" si="2"/>
        <v>49.794238683127574</v>
      </c>
    </row>
    <row r="13" spans="1:15" ht="44.25" customHeight="1">
      <c r="A13" s="412" t="s">
        <v>106</v>
      </c>
      <c r="B13" s="413"/>
      <c r="C13" s="408" t="s">
        <v>47</v>
      </c>
      <c r="D13" s="414">
        <v>536</v>
      </c>
      <c r="E13" s="426">
        <v>257</v>
      </c>
      <c r="F13" s="411">
        <f t="shared" si="0"/>
        <v>47.94776119402985</v>
      </c>
      <c r="G13" s="414">
        <v>543</v>
      </c>
      <c r="H13" s="426">
        <v>274</v>
      </c>
      <c r="I13" s="411">
        <f t="shared" si="1"/>
        <v>50.46040515653776</v>
      </c>
      <c r="J13" s="414">
        <v>516</v>
      </c>
      <c r="K13" s="426">
        <v>241</v>
      </c>
      <c r="L13" s="411">
        <v>46.7</v>
      </c>
      <c r="M13" s="414">
        <v>491</v>
      </c>
      <c r="N13" s="426">
        <v>206</v>
      </c>
      <c r="O13" s="1005">
        <f t="shared" si="2"/>
        <v>41.955193482688394</v>
      </c>
    </row>
    <row r="14" spans="1:15" ht="44.25" customHeight="1" thickBot="1">
      <c r="A14" s="432" t="s">
        <v>106</v>
      </c>
      <c r="B14" s="433"/>
      <c r="C14" s="434" t="s">
        <v>48</v>
      </c>
      <c r="D14" s="435">
        <v>478</v>
      </c>
      <c r="E14" s="436">
        <v>279</v>
      </c>
      <c r="F14" s="437">
        <f t="shared" si="0"/>
        <v>58.36820083682008</v>
      </c>
      <c r="G14" s="435">
        <v>536</v>
      </c>
      <c r="H14" s="436">
        <v>329</v>
      </c>
      <c r="I14" s="437">
        <f t="shared" si="1"/>
        <v>61.38059701492538</v>
      </c>
      <c r="J14" s="435">
        <v>505</v>
      </c>
      <c r="K14" s="436">
        <v>322</v>
      </c>
      <c r="L14" s="437">
        <v>63.8</v>
      </c>
      <c r="M14" s="1003">
        <v>481</v>
      </c>
      <c r="N14" s="436">
        <v>278</v>
      </c>
      <c r="O14" s="437">
        <f t="shared" si="2"/>
        <v>57.7962577962578</v>
      </c>
    </row>
    <row r="15" ht="19.5" customHeight="1">
      <c r="A15" s="396" t="s">
        <v>138</v>
      </c>
    </row>
  </sheetData>
  <mergeCells count="2">
    <mergeCell ref="A4:C5"/>
    <mergeCell ref="M4:O4"/>
  </mergeCells>
  <printOptions/>
  <pageMargins left="0.5" right="0.34" top="0.75" bottom="0.35" header="0.27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2" ySplit="5" topLeftCell="G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4" sqref="M14"/>
    </sheetView>
  </sheetViews>
  <sheetFormatPr defaultColWidth="9.140625" defaultRowHeight="12.75"/>
  <cols>
    <col min="1" max="1" width="26.7109375" style="3" customWidth="1"/>
    <col min="2" max="2" width="10.8515625" style="1" customWidth="1"/>
    <col min="3" max="11" width="10.140625" style="3" customWidth="1"/>
    <col min="12" max="12" width="9.140625" style="143" customWidth="1"/>
    <col min="13" max="13" width="4.8515625" style="3" customWidth="1"/>
    <col min="14" max="16384" width="9.140625" style="3" customWidth="1"/>
  </cols>
  <sheetData>
    <row r="1" spans="1:12" ht="21" customHeight="1">
      <c r="A1" s="3" t="s">
        <v>405</v>
      </c>
      <c r="B1" s="3"/>
      <c r="C1" s="1"/>
      <c r="L1"/>
    </row>
    <row r="2" ht="15" customHeight="1"/>
    <row r="3" spans="1:11" ht="24.75" customHeight="1">
      <c r="A3" s="438"/>
      <c r="B3" s="70"/>
      <c r="C3" s="1244" t="s">
        <v>2</v>
      </c>
      <c r="D3" s="1267"/>
      <c r="E3" s="1245"/>
      <c r="F3" s="1244" t="s">
        <v>4</v>
      </c>
      <c r="G3" s="1267"/>
      <c r="H3" s="1245"/>
      <c r="I3" s="1267" t="s">
        <v>109</v>
      </c>
      <c r="J3" s="1267"/>
      <c r="K3" s="1245"/>
    </row>
    <row r="4" spans="1:11" ht="30.75" customHeight="1">
      <c r="A4" s="439"/>
      <c r="B4" s="440"/>
      <c r="C4" s="441" t="s">
        <v>134</v>
      </c>
      <c r="D4" s="442" t="s">
        <v>139</v>
      </c>
      <c r="E4" s="443" t="s">
        <v>140</v>
      </c>
      <c r="F4" s="444" t="s">
        <v>134</v>
      </c>
      <c r="G4" s="442" t="s">
        <v>139</v>
      </c>
      <c r="H4" s="443" t="s">
        <v>140</v>
      </c>
      <c r="I4" s="444" t="s">
        <v>134</v>
      </c>
      <c r="J4" s="442" t="s">
        <v>139</v>
      </c>
      <c r="K4" s="443" t="s">
        <v>140</v>
      </c>
    </row>
    <row r="5" spans="1:11" ht="21" customHeight="1">
      <c r="A5" s="445" t="s">
        <v>141</v>
      </c>
      <c r="B5" s="440"/>
      <c r="C5" s="441"/>
      <c r="D5" s="446"/>
      <c r="E5" s="447"/>
      <c r="F5" s="441"/>
      <c r="G5" s="446"/>
      <c r="H5" s="447"/>
      <c r="I5" s="441"/>
      <c r="J5" s="448"/>
      <c r="K5" s="447"/>
    </row>
    <row r="6" spans="1:11" ht="21.75" customHeight="1">
      <c r="A6" s="449" t="s">
        <v>142</v>
      </c>
      <c r="B6" s="450" t="s">
        <v>5</v>
      </c>
      <c r="C6" s="451">
        <f>SUM(C7:C8)</f>
        <v>18343</v>
      </c>
      <c r="D6" s="452">
        <f>SUM(D7:D8)</f>
        <v>13688</v>
      </c>
      <c r="E6" s="453">
        <f>D6/C6*100</f>
        <v>74.62247178760289</v>
      </c>
      <c r="F6" s="451">
        <f>SUM(F7:F8)</f>
        <v>716</v>
      </c>
      <c r="G6" s="452">
        <f>SUM(G7:G8)</f>
        <v>426</v>
      </c>
      <c r="H6" s="453">
        <f aca="true" t="shared" si="0" ref="H6:H24">G6/F6*100</f>
        <v>59.49720670391061</v>
      </c>
      <c r="I6" s="451">
        <f>SUM(I7:I8)</f>
        <v>19059</v>
      </c>
      <c r="J6" s="454">
        <f>SUM(J7:J8)</f>
        <v>14114</v>
      </c>
      <c r="K6" s="455">
        <f aca="true" t="shared" si="1" ref="K6:K24">J6/I6*100</f>
        <v>74.05425258408101</v>
      </c>
    </row>
    <row r="7" spans="1:11" ht="21.75" customHeight="1">
      <c r="A7" s="449" t="s">
        <v>106</v>
      </c>
      <c r="B7" s="450" t="s">
        <v>47</v>
      </c>
      <c r="C7" s="451">
        <v>9174</v>
      </c>
      <c r="D7" s="452">
        <v>6388</v>
      </c>
      <c r="E7" s="453">
        <f>D7/C7*100</f>
        <v>69.63156747329408</v>
      </c>
      <c r="F7" s="451">
        <v>339</v>
      </c>
      <c r="G7" s="452">
        <v>168</v>
      </c>
      <c r="H7" s="453">
        <f t="shared" si="0"/>
        <v>49.557522123893804</v>
      </c>
      <c r="I7" s="451">
        <f>SUM(C7,F7)</f>
        <v>9513</v>
      </c>
      <c r="J7" s="456">
        <f>SUM(D7,G7)</f>
        <v>6556</v>
      </c>
      <c r="K7" s="455">
        <f t="shared" si="1"/>
        <v>68.9162199095974</v>
      </c>
    </row>
    <row r="8" spans="1:11" ht="21.75" customHeight="1">
      <c r="A8" s="449" t="s">
        <v>106</v>
      </c>
      <c r="B8" s="450" t="s">
        <v>48</v>
      </c>
      <c r="C8" s="451">
        <v>9169</v>
      </c>
      <c r="D8" s="452">
        <v>7300</v>
      </c>
      <c r="E8" s="453">
        <f>D8/C8*100</f>
        <v>79.61609772058021</v>
      </c>
      <c r="F8" s="451">
        <v>377</v>
      </c>
      <c r="G8" s="452">
        <v>258</v>
      </c>
      <c r="H8" s="455">
        <f t="shared" si="0"/>
        <v>68.43501326259947</v>
      </c>
      <c r="I8" s="451">
        <f>SUM(C8,F8)</f>
        <v>9546</v>
      </c>
      <c r="J8" s="456">
        <f>SUM(D8,G8)</f>
        <v>7558</v>
      </c>
      <c r="K8" s="455">
        <f t="shared" si="1"/>
        <v>79.17452336056986</v>
      </c>
    </row>
    <row r="9" spans="1:11" ht="12" customHeight="1">
      <c r="A9" s="449"/>
      <c r="B9" s="450"/>
      <c r="C9" s="451"/>
      <c r="D9" s="452"/>
      <c r="E9" s="453"/>
      <c r="F9" s="451"/>
      <c r="G9" s="452"/>
      <c r="H9" s="453"/>
      <c r="I9" s="451"/>
      <c r="J9" s="454"/>
      <c r="K9" s="455"/>
    </row>
    <row r="10" spans="1:11" ht="21.75" customHeight="1">
      <c r="A10" s="457" t="s">
        <v>143</v>
      </c>
      <c r="B10" s="450" t="s">
        <v>5</v>
      </c>
      <c r="C10" s="451">
        <f>SUM(C11:C12)</f>
        <v>4735</v>
      </c>
      <c r="D10" s="452">
        <f>SUM(D11:D12)</f>
        <v>1743</v>
      </c>
      <c r="E10" s="453">
        <f aca="true" t="shared" si="2" ref="E10:E24">D10/C10*100</f>
        <v>36.810982048574445</v>
      </c>
      <c r="F10" s="451">
        <f>SUM(F11:F12)</f>
        <v>256</v>
      </c>
      <c r="G10" s="452">
        <f>SUM(G11:G12)</f>
        <v>58</v>
      </c>
      <c r="H10" s="453">
        <f t="shared" si="0"/>
        <v>22.65625</v>
      </c>
      <c r="I10" s="451">
        <f>SUM(I11:I12)</f>
        <v>4991</v>
      </c>
      <c r="J10" s="454">
        <f>SUM(J11:J12)</f>
        <v>1801</v>
      </c>
      <c r="K10" s="455">
        <f t="shared" si="1"/>
        <v>36.08495291524745</v>
      </c>
    </row>
    <row r="11" spans="1:11" ht="21.75" customHeight="1">
      <c r="A11" s="458"/>
      <c r="B11" s="450" t="s">
        <v>47</v>
      </c>
      <c r="C11" s="451">
        <v>2703</v>
      </c>
      <c r="D11" s="452">
        <v>834</v>
      </c>
      <c r="E11" s="453">
        <f t="shared" si="2"/>
        <v>30.854605993340734</v>
      </c>
      <c r="F11" s="451">
        <v>152</v>
      </c>
      <c r="G11" s="452">
        <v>38</v>
      </c>
      <c r="H11" s="453">
        <f t="shared" si="0"/>
        <v>25</v>
      </c>
      <c r="I11" s="451">
        <f>SUM(C11,F11)</f>
        <v>2855</v>
      </c>
      <c r="J11" s="456">
        <f>SUM(D11,G11)</f>
        <v>872</v>
      </c>
      <c r="K11" s="455">
        <f t="shared" si="1"/>
        <v>30.54290718038529</v>
      </c>
    </row>
    <row r="12" spans="1:11" ht="21.75" customHeight="1">
      <c r="A12" s="449"/>
      <c r="B12" s="450" t="s">
        <v>48</v>
      </c>
      <c r="C12" s="451">
        <v>2032</v>
      </c>
      <c r="D12" s="452">
        <v>909</v>
      </c>
      <c r="E12" s="453">
        <f t="shared" si="2"/>
        <v>44.73425196850393</v>
      </c>
      <c r="F12" s="451">
        <v>104</v>
      </c>
      <c r="G12" s="452">
        <v>20</v>
      </c>
      <c r="H12" s="455">
        <f t="shared" si="0"/>
        <v>19.230769230769234</v>
      </c>
      <c r="I12" s="451">
        <f>SUM(C12,F12)</f>
        <v>2136</v>
      </c>
      <c r="J12" s="456">
        <f>SUM(D12,G12)</f>
        <v>929</v>
      </c>
      <c r="K12" s="455">
        <f t="shared" si="1"/>
        <v>43.49250936329588</v>
      </c>
    </row>
    <row r="13" spans="1:11" ht="12" customHeight="1">
      <c r="A13" s="449"/>
      <c r="B13" s="450"/>
      <c r="C13" s="451"/>
      <c r="D13" s="452"/>
      <c r="E13" s="453"/>
      <c r="F13" s="451"/>
      <c r="G13" s="452"/>
      <c r="H13" s="453"/>
      <c r="I13" s="451"/>
      <c r="J13" s="456"/>
      <c r="K13" s="455"/>
    </row>
    <row r="14" spans="1:12" ht="21" customHeight="1">
      <c r="A14" s="459" t="s">
        <v>144</v>
      </c>
      <c r="B14" s="450" t="s">
        <v>5</v>
      </c>
      <c r="C14" s="451">
        <f>SUM(C15:C16)</f>
        <v>23078</v>
      </c>
      <c r="D14" s="452">
        <f>SUM(D15:D16)</f>
        <v>15431</v>
      </c>
      <c r="E14" s="453">
        <f t="shared" si="2"/>
        <v>66.86454632117169</v>
      </c>
      <c r="F14" s="451">
        <f>SUM(F15:F16)</f>
        <v>972</v>
      </c>
      <c r="G14" s="452">
        <f>SUM(G15:G16)</f>
        <v>484</v>
      </c>
      <c r="H14" s="453">
        <f t="shared" si="0"/>
        <v>49.794238683127574</v>
      </c>
      <c r="I14" s="451">
        <f>SUM(I15:I16)</f>
        <v>24050</v>
      </c>
      <c r="J14" s="456">
        <f>SUM(J15:J16)</f>
        <v>15915</v>
      </c>
      <c r="K14" s="455">
        <f t="shared" si="1"/>
        <v>66.17463617463616</v>
      </c>
      <c r="L14" s="460"/>
    </row>
    <row r="15" spans="1:11" ht="21.75" customHeight="1">
      <c r="A15" s="458"/>
      <c r="B15" s="450" t="s">
        <v>47</v>
      </c>
      <c r="C15" s="451">
        <v>11877</v>
      </c>
      <c r="D15" s="452">
        <v>7222</v>
      </c>
      <c r="E15" s="453">
        <f t="shared" si="2"/>
        <v>60.80660099351688</v>
      </c>
      <c r="F15" s="451">
        <v>491</v>
      </c>
      <c r="G15" s="452">
        <v>206</v>
      </c>
      <c r="H15" s="453">
        <f t="shared" si="0"/>
        <v>41.955193482688394</v>
      </c>
      <c r="I15" s="451">
        <f>SUM(C15,F15)</f>
        <v>12368</v>
      </c>
      <c r="J15" s="454">
        <f>SUM(D15,G15)</f>
        <v>7428</v>
      </c>
      <c r="K15" s="455">
        <f t="shared" si="1"/>
        <v>60.058214747736095</v>
      </c>
    </row>
    <row r="16" spans="1:11" ht="21.75" customHeight="1">
      <c r="A16" s="449"/>
      <c r="B16" s="450" t="s">
        <v>48</v>
      </c>
      <c r="C16" s="451">
        <v>11201</v>
      </c>
      <c r="D16" s="452">
        <v>8209</v>
      </c>
      <c r="E16" s="453">
        <f t="shared" si="2"/>
        <v>73.28809927685029</v>
      </c>
      <c r="F16" s="451">
        <v>481</v>
      </c>
      <c r="G16" s="452">
        <v>278</v>
      </c>
      <c r="H16" s="453">
        <f t="shared" si="0"/>
        <v>57.7962577962578</v>
      </c>
      <c r="I16" s="451">
        <f>SUM(C16,F16)</f>
        <v>11682</v>
      </c>
      <c r="J16" s="454">
        <f>SUM(D16,G16)</f>
        <v>8487</v>
      </c>
      <c r="K16" s="455">
        <f t="shared" si="1"/>
        <v>72.65023112480739</v>
      </c>
    </row>
    <row r="17" spans="1:11" ht="6.75" customHeight="1">
      <c r="A17" s="449"/>
      <c r="B17" s="450"/>
      <c r="C17" s="451"/>
      <c r="D17" s="452"/>
      <c r="E17" s="453"/>
      <c r="F17" s="451"/>
      <c r="G17" s="452"/>
      <c r="H17" s="453"/>
      <c r="I17" s="451"/>
      <c r="J17" s="456"/>
      <c r="K17" s="455"/>
    </row>
    <row r="18" spans="1:12" s="469" customFormat="1" ht="21.75" customHeight="1">
      <c r="A18" s="461" t="s">
        <v>145</v>
      </c>
      <c r="B18" s="462" t="s">
        <v>5</v>
      </c>
      <c r="C18" s="463">
        <f>SUM(C19:C20)</f>
        <v>2497</v>
      </c>
      <c r="D18" s="464">
        <f>SUM(D19:D20)</f>
        <v>723</v>
      </c>
      <c r="E18" s="465">
        <f t="shared" si="2"/>
        <v>28.9547456948338</v>
      </c>
      <c r="F18" s="463">
        <f>SUM(F19:F20)</f>
        <v>47</v>
      </c>
      <c r="G18" s="464">
        <f>SUM(G19:G20)</f>
        <v>14</v>
      </c>
      <c r="H18" s="465">
        <f t="shared" si="0"/>
        <v>29.78723404255319</v>
      </c>
      <c r="I18" s="463">
        <f>SUM(I19:I20)</f>
        <v>2544</v>
      </c>
      <c r="J18" s="466">
        <f>SUM(J19:J20)</f>
        <v>737</v>
      </c>
      <c r="K18" s="467">
        <f t="shared" si="1"/>
        <v>28.97012578616352</v>
      </c>
      <c r="L18" s="468"/>
    </row>
    <row r="19" spans="1:11" ht="21.75" customHeight="1">
      <c r="A19" s="449"/>
      <c r="B19" s="450" t="s">
        <v>47</v>
      </c>
      <c r="C19" s="451">
        <v>1403</v>
      </c>
      <c r="D19" s="452">
        <v>352</v>
      </c>
      <c r="E19" s="470">
        <f t="shared" si="2"/>
        <v>25.089094796863865</v>
      </c>
      <c r="F19" s="451">
        <v>34</v>
      </c>
      <c r="G19" s="452">
        <v>11</v>
      </c>
      <c r="H19" s="453">
        <f t="shared" si="0"/>
        <v>32.35294117647059</v>
      </c>
      <c r="I19" s="451">
        <f>SUM(C19,F19)</f>
        <v>1437</v>
      </c>
      <c r="J19" s="454">
        <f>SUM(D19,G19)</f>
        <v>363</v>
      </c>
      <c r="K19" s="455">
        <f t="shared" si="1"/>
        <v>25.260960334029225</v>
      </c>
    </row>
    <row r="20" spans="1:11" ht="21.75" customHeight="1">
      <c r="A20" s="449" t="s">
        <v>106</v>
      </c>
      <c r="B20" s="450" t="s">
        <v>48</v>
      </c>
      <c r="C20" s="451">
        <v>1094</v>
      </c>
      <c r="D20" s="452">
        <v>371</v>
      </c>
      <c r="E20" s="470">
        <f t="shared" si="2"/>
        <v>33.912248628884825</v>
      </c>
      <c r="F20" s="451">
        <v>13</v>
      </c>
      <c r="G20" s="452">
        <v>3</v>
      </c>
      <c r="H20" s="455">
        <f t="shared" si="0"/>
        <v>23.076923076923077</v>
      </c>
      <c r="I20" s="451">
        <f>SUM(C20,F20)</f>
        <v>1107</v>
      </c>
      <c r="J20" s="454">
        <f>SUM(D20,G20)</f>
        <v>374</v>
      </c>
      <c r="K20" s="455">
        <f t="shared" si="1"/>
        <v>33.78500451671184</v>
      </c>
    </row>
    <row r="21" spans="1:11" ht="12" customHeight="1">
      <c r="A21" s="471"/>
      <c r="B21" s="472"/>
      <c r="C21" s="473"/>
      <c r="D21" s="474"/>
      <c r="E21" s="475"/>
      <c r="F21" s="473"/>
      <c r="G21" s="474"/>
      <c r="H21" s="475"/>
      <c r="I21" s="473"/>
      <c r="J21" s="476"/>
      <c r="K21" s="477"/>
    </row>
    <row r="22" spans="1:12" s="469" customFormat="1" ht="35.25" customHeight="1">
      <c r="A22" s="478" t="s">
        <v>146</v>
      </c>
      <c r="B22" s="450" t="s">
        <v>5</v>
      </c>
      <c r="C22" s="479">
        <f aca="true" t="shared" si="3" ref="C22:D24">SUM(C18,C14)</f>
        <v>25575</v>
      </c>
      <c r="D22" s="452">
        <f t="shared" si="3"/>
        <v>16154</v>
      </c>
      <c r="E22" s="455">
        <f t="shared" si="2"/>
        <v>63.16324535679374</v>
      </c>
      <c r="F22" s="479">
        <f aca="true" t="shared" si="4" ref="F22:G24">SUM(F14,F18)</f>
        <v>1019</v>
      </c>
      <c r="G22" s="452">
        <f t="shared" si="4"/>
        <v>498</v>
      </c>
      <c r="H22" s="453">
        <f t="shared" si="0"/>
        <v>48.871442590775274</v>
      </c>
      <c r="I22" s="479">
        <f>SUM(I23:I24)</f>
        <v>26594</v>
      </c>
      <c r="J22" s="452">
        <f>SUM(J23:J24)</f>
        <v>16652</v>
      </c>
      <c r="K22" s="455">
        <f t="shared" si="1"/>
        <v>62.615627585169584</v>
      </c>
      <c r="L22" s="468"/>
    </row>
    <row r="23" spans="1:11" ht="21.75" customHeight="1">
      <c r="A23" s="449" t="s">
        <v>106</v>
      </c>
      <c r="B23" s="450" t="s">
        <v>47</v>
      </c>
      <c r="C23" s="479">
        <f t="shared" si="3"/>
        <v>13280</v>
      </c>
      <c r="D23" s="452">
        <f t="shared" si="3"/>
        <v>7574</v>
      </c>
      <c r="E23" s="455">
        <f t="shared" si="2"/>
        <v>57.033132530120476</v>
      </c>
      <c r="F23" s="479">
        <f t="shared" si="4"/>
        <v>525</v>
      </c>
      <c r="G23" s="452">
        <f t="shared" si="4"/>
        <v>217</v>
      </c>
      <c r="H23" s="455">
        <f t="shared" si="0"/>
        <v>41.333333333333336</v>
      </c>
      <c r="I23" s="451">
        <f>SUM(C23,F23)</f>
        <v>13805</v>
      </c>
      <c r="J23" s="454">
        <f>SUM(D23,G23)</f>
        <v>7791</v>
      </c>
      <c r="K23" s="455">
        <f t="shared" si="1"/>
        <v>56.436073886273086</v>
      </c>
    </row>
    <row r="24" spans="1:11" ht="21.75" customHeight="1">
      <c r="A24" s="480" t="s">
        <v>106</v>
      </c>
      <c r="B24" s="481" t="s">
        <v>48</v>
      </c>
      <c r="C24" s="482">
        <f t="shared" si="3"/>
        <v>12295</v>
      </c>
      <c r="D24" s="483">
        <f t="shared" si="3"/>
        <v>8580</v>
      </c>
      <c r="E24" s="484">
        <f t="shared" si="2"/>
        <v>69.7844652297682</v>
      </c>
      <c r="F24" s="482">
        <f t="shared" si="4"/>
        <v>494</v>
      </c>
      <c r="G24" s="483">
        <f t="shared" si="4"/>
        <v>281</v>
      </c>
      <c r="H24" s="484">
        <f t="shared" si="0"/>
        <v>56.882591093117405</v>
      </c>
      <c r="I24" s="485">
        <f>SUM(C24,F24)</f>
        <v>12789</v>
      </c>
      <c r="J24" s="486">
        <f>SUM(D24,G24)</f>
        <v>8861</v>
      </c>
      <c r="K24" s="484">
        <f t="shared" si="1"/>
        <v>69.28610524669638</v>
      </c>
    </row>
    <row r="25" spans="1:11" ht="19.5" customHeight="1">
      <c r="A25" s="143" t="s">
        <v>138</v>
      </c>
      <c r="B25" s="143"/>
      <c r="C25" s="143"/>
      <c r="D25" s="456"/>
      <c r="E25" s="487"/>
      <c r="F25" s="456"/>
      <c r="G25" s="456"/>
      <c r="H25" s="487"/>
      <c r="I25" s="456"/>
      <c r="J25" s="456"/>
      <c r="K25" s="487"/>
    </row>
    <row r="26" spans="1:5" ht="12.75" customHeight="1">
      <c r="A26" s="143"/>
      <c r="E26" s="488"/>
    </row>
    <row r="27" ht="15">
      <c r="E27" s="489"/>
    </row>
    <row r="28" ht="15">
      <c r="E28" s="489"/>
    </row>
    <row r="29" ht="15">
      <c r="E29" s="489"/>
    </row>
    <row r="30" spans="1:5" ht="15">
      <c r="A30" s="490"/>
      <c r="E30" s="489"/>
    </row>
    <row r="31" spans="1:5" ht="15">
      <c r="A31" s="491"/>
      <c r="E31" s="489"/>
    </row>
    <row r="32" ht="15">
      <c r="E32" s="489"/>
    </row>
    <row r="33" ht="15">
      <c r="E33" s="489"/>
    </row>
    <row r="34" ht="15">
      <c r="E34" s="489"/>
    </row>
    <row r="35" ht="15">
      <c r="E35" s="489"/>
    </row>
  </sheetData>
  <mergeCells count="3">
    <mergeCell ref="C3:E3"/>
    <mergeCell ref="F3:H3"/>
    <mergeCell ref="I3:K3"/>
  </mergeCells>
  <printOptions/>
  <pageMargins left="0.5" right="0.31" top="0.64" bottom="0.38" header="0.25" footer="0.1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A25">
      <selection activeCell="D41" sqref="D41"/>
    </sheetView>
  </sheetViews>
  <sheetFormatPr defaultColWidth="9.140625" defaultRowHeight="12.75"/>
  <cols>
    <col min="1" max="1" width="26.7109375" style="494" customWidth="1"/>
    <col min="2" max="2" width="6.7109375" style="494" customWidth="1"/>
    <col min="3" max="3" width="8.57421875" style="494" customWidth="1"/>
    <col min="4" max="9" width="8.28125" style="494" customWidth="1"/>
    <col min="39" max="16384" width="9.140625" style="494" customWidth="1"/>
  </cols>
  <sheetData>
    <row r="1" spans="1:38" s="492" customFormat="1" ht="26.25" customHeight="1">
      <c r="A1" s="492" t="s">
        <v>403</v>
      </c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</row>
    <row r="2" ht="17.25" customHeight="1"/>
    <row r="3" spans="1:38" s="500" customFormat="1" ht="16.5" customHeight="1">
      <c r="A3" s="495"/>
      <c r="B3" s="496"/>
      <c r="C3" s="1397" t="s">
        <v>150</v>
      </c>
      <c r="D3" s="497" t="s">
        <v>147</v>
      </c>
      <c r="E3" s="497"/>
      <c r="F3" s="497"/>
      <c r="G3" s="497"/>
      <c r="H3" s="497"/>
      <c r="I3" s="498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</row>
    <row r="4" spans="1:38" s="500" customFormat="1" ht="16.5" customHeight="1">
      <c r="A4" s="501" t="s">
        <v>17</v>
      </c>
      <c r="B4" s="502"/>
      <c r="C4" s="1398"/>
      <c r="D4" s="1400" t="s">
        <v>151</v>
      </c>
      <c r="E4" s="1401"/>
      <c r="F4" s="503" t="s">
        <v>148</v>
      </c>
      <c r="G4" s="503"/>
      <c r="H4" s="503"/>
      <c r="I4" s="504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</row>
    <row r="5" spans="1:38" s="500" customFormat="1" ht="16.5" customHeight="1">
      <c r="A5" s="505"/>
      <c r="B5" s="506"/>
      <c r="C5" s="1398"/>
      <c r="D5" s="1402"/>
      <c r="E5" s="1403"/>
      <c r="F5" s="503" t="s">
        <v>152</v>
      </c>
      <c r="G5" s="504"/>
      <c r="H5" s="507" t="s">
        <v>61</v>
      </c>
      <c r="I5" s="504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</row>
    <row r="6" spans="1:38" s="500" customFormat="1" ht="19.5" customHeight="1">
      <c r="A6" s="508"/>
      <c r="B6" s="509"/>
      <c r="C6" s="1399"/>
      <c r="D6" s="510" t="s">
        <v>62</v>
      </c>
      <c r="E6" s="511" t="s">
        <v>7</v>
      </c>
      <c r="F6" s="510" t="s">
        <v>62</v>
      </c>
      <c r="G6" s="512" t="s">
        <v>7</v>
      </c>
      <c r="H6" s="513" t="s">
        <v>62</v>
      </c>
      <c r="I6" s="514" t="s">
        <v>7</v>
      </c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</row>
    <row r="7" spans="1:38" s="500" customFormat="1" ht="24.75" customHeight="1">
      <c r="A7" s="515" t="s">
        <v>63</v>
      </c>
      <c r="B7" s="506"/>
      <c r="C7" s="516">
        <f>D7+F7+H7</f>
        <v>28</v>
      </c>
      <c r="D7" s="517">
        <v>8</v>
      </c>
      <c r="E7" s="518">
        <f>(D7/C7)*100</f>
        <v>28.57142857142857</v>
      </c>
      <c r="F7" s="517">
        <v>16</v>
      </c>
      <c r="G7" s="518">
        <f aca="true" t="shared" si="0" ref="G7:G16">(F7/C7)*100</f>
        <v>57.14285714285714</v>
      </c>
      <c r="H7" s="519">
        <v>4</v>
      </c>
      <c r="I7" s="520">
        <f>H7/C7*100</f>
        <v>14.285714285714285</v>
      </c>
      <c r="J7" s="499"/>
      <c r="K7" s="521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</row>
    <row r="8" spans="1:38" s="500" customFormat="1" ht="24.75" customHeight="1">
      <c r="A8" s="515" t="s">
        <v>64</v>
      </c>
      <c r="B8" s="506"/>
      <c r="C8" s="516">
        <f aca="true" t="shared" si="1" ref="C8:C18">D8+F8+H8</f>
        <v>15</v>
      </c>
      <c r="D8" s="517">
        <v>8</v>
      </c>
      <c r="E8" s="518">
        <f aca="true" t="shared" si="2" ref="E8:E18">(D8/C8)*100</f>
        <v>53.333333333333336</v>
      </c>
      <c r="F8" s="517">
        <v>7</v>
      </c>
      <c r="G8" s="518">
        <f t="shared" si="0"/>
        <v>46.666666666666664</v>
      </c>
      <c r="H8" s="522">
        <v>0</v>
      </c>
      <c r="I8" s="523">
        <f>H8/C8*100</f>
        <v>0</v>
      </c>
      <c r="J8" s="499"/>
      <c r="K8" s="521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</row>
    <row r="9" spans="1:38" s="500" customFormat="1" ht="24.75" customHeight="1">
      <c r="A9" s="515" t="s">
        <v>66</v>
      </c>
      <c r="B9" s="506"/>
      <c r="C9" s="516">
        <f t="shared" si="1"/>
        <v>13</v>
      </c>
      <c r="D9" s="517">
        <v>6</v>
      </c>
      <c r="E9" s="518">
        <f t="shared" si="2"/>
        <v>46.15384615384615</v>
      </c>
      <c r="F9" s="517">
        <v>5</v>
      </c>
      <c r="G9" s="518">
        <v>39</v>
      </c>
      <c r="H9" s="519">
        <v>2</v>
      </c>
      <c r="I9" s="520">
        <f>H9/C9*100</f>
        <v>15.384615384615385</v>
      </c>
      <c r="J9" s="499"/>
      <c r="K9" s="521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</row>
    <row r="10" spans="1:38" s="500" customFormat="1" ht="24.75" customHeight="1">
      <c r="A10" s="515" t="s">
        <v>67</v>
      </c>
      <c r="B10" s="506"/>
      <c r="C10" s="516">
        <f t="shared" si="1"/>
        <v>15</v>
      </c>
      <c r="D10" s="517">
        <v>8</v>
      </c>
      <c r="E10" s="518">
        <f t="shared" si="2"/>
        <v>53.333333333333336</v>
      </c>
      <c r="F10" s="517">
        <v>7</v>
      </c>
      <c r="G10" s="518">
        <f t="shared" si="0"/>
        <v>46.666666666666664</v>
      </c>
      <c r="H10" s="522">
        <v>0</v>
      </c>
      <c r="I10" s="523">
        <v>0</v>
      </c>
      <c r="J10" s="499"/>
      <c r="K10" s="521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</row>
    <row r="11" spans="1:38" s="500" customFormat="1" ht="24.75" customHeight="1">
      <c r="A11" s="515" t="s">
        <v>68</v>
      </c>
      <c r="B11" s="506"/>
      <c r="C11" s="516">
        <f t="shared" si="1"/>
        <v>11</v>
      </c>
      <c r="D11" s="517">
        <v>4</v>
      </c>
      <c r="E11" s="518">
        <f t="shared" si="2"/>
        <v>36.36363636363637</v>
      </c>
      <c r="F11" s="517">
        <v>7</v>
      </c>
      <c r="G11" s="518">
        <f t="shared" si="0"/>
        <v>63.63636363636363</v>
      </c>
      <c r="H11" s="522">
        <v>0</v>
      </c>
      <c r="I11" s="523">
        <v>0</v>
      </c>
      <c r="J11" s="499"/>
      <c r="K11" s="521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</row>
    <row r="12" spans="1:38" s="500" customFormat="1" ht="24.75" customHeight="1">
      <c r="A12" s="515" t="s">
        <v>69</v>
      </c>
      <c r="B12" s="506"/>
      <c r="C12" s="516">
        <f t="shared" si="1"/>
        <v>7</v>
      </c>
      <c r="D12" s="517">
        <v>4</v>
      </c>
      <c r="E12" s="518">
        <f t="shared" si="2"/>
        <v>57.14285714285714</v>
      </c>
      <c r="F12" s="517">
        <v>3</v>
      </c>
      <c r="G12" s="518">
        <f t="shared" si="0"/>
        <v>42.857142857142854</v>
      </c>
      <c r="H12" s="522">
        <v>0</v>
      </c>
      <c r="I12" s="523">
        <v>0</v>
      </c>
      <c r="J12" s="499"/>
      <c r="K12" s="521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</row>
    <row r="13" spans="1:38" s="500" customFormat="1" ht="24.75" customHeight="1">
      <c r="A13" s="515" t="s">
        <v>70</v>
      </c>
      <c r="B13" s="506"/>
      <c r="C13" s="516">
        <f t="shared" si="1"/>
        <v>69</v>
      </c>
      <c r="D13" s="517">
        <v>23</v>
      </c>
      <c r="E13" s="518">
        <f t="shared" si="2"/>
        <v>33.33333333333333</v>
      </c>
      <c r="F13" s="517">
        <v>36</v>
      </c>
      <c r="G13" s="518">
        <f t="shared" si="0"/>
        <v>52.17391304347826</v>
      </c>
      <c r="H13" s="519">
        <v>10</v>
      </c>
      <c r="I13" s="520">
        <v>15</v>
      </c>
      <c r="J13" s="499"/>
      <c r="K13" s="521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</row>
    <row r="14" spans="1:38" s="500" customFormat="1" ht="24.75" customHeight="1">
      <c r="A14" s="515" t="s">
        <v>71</v>
      </c>
      <c r="B14" s="506"/>
      <c r="C14" s="516">
        <f t="shared" si="1"/>
        <v>12</v>
      </c>
      <c r="D14" s="517">
        <v>5</v>
      </c>
      <c r="E14" s="518">
        <f t="shared" si="2"/>
        <v>41.66666666666667</v>
      </c>
      <c r="F14" s="517">
        <v>4</v>
      </c>
      <c r="G14" s="518">
        <f t="shared" si="0"/>
        <v>33.33333333333333</v>
      </c>
      <c r="H14" s="519">
        <v>3</v>
      </c>
      <c r="I14" s="520">
        <f>H14/C14*100</f>
        <v>25</v>
      </c>
      <c r="J14" s="499"/>
      <c r="K14" s="521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</row>
    <row r="15" spans="1:38" s="500" customFormat="1" ht="24.75" customHeight="1">
      <c r="A15" s="515" t="s">
        <v>72</v>
      </c>
      <c r="B15" s="506"/>
      <c r="C15" s="524">
        <f t="shared" si="1"/>
        <v>5</v>
      </c>
      <c r="D15" s="517">
        <v>3</v>
      </c>
      <c r="E15" s="525">
        <f t="shared" si="2"/>
        <v>60</v>
      </c>
      <c r="F15" s="517">
        <v>2</v>
      </c>
      <c r="G15" s="525">
        <f t="shared" si="0"/>
        <v>40</v>
      </c>
      <c r="H15" s="522">
        <v>0</v>
      </c>
      <c r="I15" s="526">
        <v>0</v>
      </c>
      <c r="J15" s="499"/>
      <c r="K15" s="521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</row>
    <row r="16" spans="1:38" s="500" customFormat="1" ht="24.75" customHeight="1">
      <c r="A16" s="495" t="s">
        <v>73</v>
      </c>
      <c r="B16" s="496"/>
      <c r="C16" s="516">
        <f>SUM(C7:C15)</f>
        <v>175</v>
      </c>
      <c r="D16" s="527">
        <f>SUM(D7:D15)</f>
        <v>69</v>
      </c>
      <c r="E16" s="528">
        <f t="shared" si="2"/>
        <v>39.42857142857143</v>
      </c>
      <c r="F16" s="529">
        <f>SUM(F7:F15)</f>
        <v>87</v>
      </c>
      <c r="G16" s="528">
        <f t="shared" si="0"/>
        <v>49.714285714285715</v>
      </c>
      <c r="H16" s="530">
        <f>SUM(H7:H15)</f>
        <v>19</v>
      </c>
      <c r="I16" s="528">
        <f>H16/C16*100</f>
        <v>10.857142857142858</v>
      </c>
      <c r="J16" s="499"/>
      <c r="K16" s="521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</row>
    <row r="17" spans="1:38" s="500" customFormat="1" ht="24.75" customHeight="1">
      <c r="A17" s="515" t="s">
        <v>74</v>
      </c>
      <c r="B17" s="506"/>
      <c r="C17" s="524">
        <v>5</v>
      </c>
      <c r="D17" s="531">
        <v>0</v>
      </c>
      <c r="E17" s="526">
        <v>0</v>
      </c>
      <c r="F17" s="532">
        <v>5</v>
      </c>
      <c r="G17" s="999">
        <v>100</v>
      </c>
      <c r="H17" s="533">
        <v>0</v>
      </c>
      <c r="I17" s="534">
        <v>0</v>
      </c>
      <c r="J17" s="499"/>
      <c r="K17" s="521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</row>
    <row r="18" spans="1:38" s="500" customFormat="1" ht="24.75" customHeight="1">
      <c r="A18" s="535" t="s">
        <v>75</v>
      </c>
      <c r="B18" s="536"/>
      <c r="C18" s="537">
        <f t="shared" si="1"/>
        <v>180</v>
      </c>
      <c r="D18" s="538">
        <f>SUM(D16+D17)</f>
        <v>69</v>
      </c>
      <c r="E18" s="525">
        <f t="shared" si="2"/>
        <v>38.333333333333336</v>
      </c>
      <c r="F18" s="538">
        <f>SUM(F16+F17)</f>
        <v>92</v>
      </c>
      <c r="G18" s="525">
        <f>F18/C18*100</f>
        <v>51.11111111111111</v>
      </c>
      <c r="H18" s="539">
        <f>SUM(H16:H17)</f>
        <v>19</v>
      </c>
      <c r="I18" s="525">
        <f>H18/C18*100</f>
        <v>10.555555555555555</v>
      </c>
      <c r="J18" s="499"/>
      <c r="K18" s="521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</row>
    <row r="19" spans="10:38" s="500" customFormat="1" ht="18.75" customHeight="1"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</row>
    <row r="20" spans="1:38" s="492" customFormat="1" ht="15" customHeight="1">
      <c r="A20" s="492" t="s">
        <v>404</v>
      </c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</row>
    <row r="21" spans="10:38" s="500" customFormat="1" ht="13.5" customHeight="1"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</row>
    <row r="22" spans="1:38" s="500" customFormat="1" ht="18.75" customHeight="1">
      <c r="A22" s="495"/>
      <c r="B22" s="496"/>
      <c r="C22" s="1397" t="s">
        <v>150</v>
      </c>
      <c r="D22" s="497" t="s">
        <v>147</v>
      </c>
      <c r="E22" s="497"/>
      <c r="F22" s="497"/>
      <c r="G22" s="497"/>
      <c r="H22" s="497"/>
      <c r="I22" s="498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</row>
    <row r="23" spans="1:38" s="500" customFormat="1" ht="18.75" customHeight="1">
      <c r="A23" s="501" t="s">
        <v>34</v>
      </c>
      <c r="B23" s="502"/>
      <c r="C23" s="1398"/>
      <c r="D23" s="1400" t="s">
        <v>151</v>
      </c>
      <c r="E23" s="1401"/>
      <c r="F23" s="503" t="s">
        <v>148</v>
      </c>
      <c r="G23" s="503"/>
      <c r="H23" s="503"/>
      <c r="I23" s="504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</row>
    <row r="24" spans="1:38" s="500" customFormat="1" ht="18.75" customHeight="1">
      <c r="A24" s="505"/>
      <c r="B24" s="506"/>
      <c r="C24" s="1398"/>
      <c r="D24" s="1402"/>
      <c r="E24" s="1403"/>
      <c r="F24" s="503" t="s">
        <v>152</v>
      </c>
      <c r="G24" s="504"/>
      <c r="H24" s="507" t="s">
        <v>61</v>
      </c>
      <c r="I24" s="504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</row>
    <row r="25" spans="1:38" s="500" customFormat="1" ht="18.75" customHeight="1">
      <c r="A25" s="508"/>
      <c r="B25" s="509"/>
      <c r="C25" s="1399"/>
      <c r="D25" s="510" t="s">
        <v>62</v>
      </c>
      <c r="E25" s="511" t="s">
        <v>7</v>
      </c>
      <c r="F25" s="510" t="s">
        <v>62</v>
      </c>
      <c r="G25" s="512" t="s">
        <v>7</v>
      </c>
      <c r="H25" s="540" t="s">
        <v>62</v>
      </c>
      <c r="I25" s="514" t="s">
        <v>7</v>
      </c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</row>
    <row r="26" spans="1:38" s="500" customFormat="1" ht="28.5" customHeight="1">
      <c r="A26" s="515" t="s">
        <v>35</v>
      </c>
      <c r="B26" s="506"/>
      <c r="C26" s="516">
        <f aca="true" t="shared" si="3" ref="C26:C31">D26+F26+H26</f>
        <v>57</v>
      </c>
      <c r="D26" s="517">
        <v>23</v>
      </c>
      <c r="E26" s="541">
        <f aca="true" t="shared" si="4" ref="E26:E31">(D26/C26)*100</f>
        <v>40.35087719298245</v>
      </c>
      <c r="F26" s="517">
        <v>28</v>
      </c>
      <c r="G26" s="541">
        <f>(F26/C26)*100</f>
        <v>49.122807017543856</v>
      </c>
      <c r="H26" s="542">
        <v>6</v>
      </c>
      <c r="I26" s="541">
        <f aca="true" t="shared" si="5" ref="I26:I31">(H26/C26)*100</f>
        <v>10.526315789473683</v>
      </c>
      <c r="J26" s="499"/>
      <c r="K26" s="543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</row>
    <row r="27" spans="1:38" s="500" customFormat="1" ht="28.5" customHeight="1">
      <c r="A27" s="1395" t="s">
        <v>36</v>
      </c>
      <c r="B27" s="1396"/>
      <c r="C27" s="516">
        <f t="shared" si="3"/>
        <v>44</v>
      </c>
      <c r="D27" s="517">
        <v>18</v>
      </c>
      <c r="E27" s="541">
        <f t="shared" si="4"/>
        <v>40.909090909090914</v>
      </c>
      <c r="F27" s="517">
        <v>22</v>
      </c>
      <c r="G27" s="541">
        <f>(F27/C27)*100</f>
        <v>50</v>
      </c>
      <c r="H27" s="542">
        <v>4</v>
      </c>
      <c r="I27" s="541">
        <f t="shared" si="5"/>
        <v>9.090909090909092</v>
      </c>
      <c r="J27" s="499"/>
      <c r="K27" s="543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</row>
    <row r="28" spans="1:38" s="500" customFormat="1" ht="28.5" customHeight="1">
      <c r="A28" s="515" t="s">
        <v>37</v>
      </c>
      <c r="B28" s="506"/>
      <c r="C28" s="516">
        <f t="shared" si="3"/>
        <v>41</v>
      </c>
      <c r="D28" s="517">
        <v>13</v>
      </c>
      <c r="E28" s="541">
        <f t="shared" si="4"/>
        <v>31.70731707317073</v>
      </c>
      <c r="F28" s="517">
        <v>22</v>
      </c>
      <c r="G28" s="541">
        <f>(F28/C28)*100</f>
        <v>53.65853658536586</v>
      </c>
      <c r="H28" s="544">
        <v>6</v>
      </c>
      <c r="I28" s="541">
        <f t="shared" si="5"/>
        <v>14.634146341463413</v>
      </c>
      <c r="J28" s="499"/>
      <c r="K28" s="543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</row>
    <row r="29" spans="1:38" s="500" customFormat="1" ht="27.75" customHeight="1">
      <c r="A29" s="515" t="s">
        <v>55</v>
      </c>
      <c r="B29" s="545"/>
      <c r="C29" s="516">
        <f t="shared" si="3"/>
        <v>33</v>
      </c>
      <c r="D29" s="517">
        <v>15</v>
      </c>
      <c r="E29" s="541">
        <f t="shared" si="4"/>
        <v>45.45454545454545</v>
      </c>
      <c r="F29" s="517">
        <v>15</v>
      </c>
      <c r="G29" s="541">
        <v>46</v>
      </c>
      <c r="H29" s="544">
        <v>3</v>
      </c>
      <c r="I29" s="541">
        <f t="shared" si="5"/>
        <v>9.090909090909092</v>
      </c>
      <c r="J29" s="499"/>
      <c r="K29" s="543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</row>
    <row r="30" spans="1:38" s="500" customFormat="1" ht="29.25" customHeight="1">
      <c r="A30" s="515" t="s">
        <v>39</v>
      </c>
      <c r="B30" s="506"/>
      <c r="C30" s="524">
        <f t="shared" si="3"/>
        <v>5</v>
      </c>
      <c r="D30" s="546">
        <v>0</v>
      </c>
      <c r="E30" s="547">
        <v>0</v>
      </c>
      <c r="F30" s="538">
        <v>5</v>
      </c>
      <c r="G30" s="548">
        <f>(F30/C30)*100</f>
        <v>100</v>
      </c>
      <c r="H30" s="546">
        <v>0</v>
      </c>
      <c r="I30" s="547">
        <v>0</v>
      </c>
      <c r="J30" s="499"/>
      <c r="K30" s="543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</row>
    <row r="31" spans="1:38" s="500" customFormat="1" ht="36" customHeight="1">
      <c r="A31" s="535" t="s">
        <v>56</v>
      </c>
      <c r="B31" s="536"/>
      <c r="C31" s="524">
        <f t="shared" si="3"/>
        <v>180</v>
      </c>
      <c r="D31" s="532">
        <f>SUM(D26:D30)</f>
        <v>69</v>
      </c>
      <c r="E31" s="549">
        <f t="shared" si="4"/>
        <v>38.333333333333336</v>
      </c>
      <c r="F31" s="538">
        <f>SUM(F26:F30)</f>
        <v>92</v>
      </c>
      <c r="G31" s="548">
        <f>(F31/C31)*100</f>
        <v>51.11111111111111</v>
      </c>
      <c r="H31" s="550">
        <f>SUM(H26:H30)</f>
        <v>19</v>
      </c>
      <c r="I31" s="548">
        <f t="shared" si="5"/>
        <v>10.555555555555555</v>
      </c>
      <c r="J31" s="499"/>
      <c r="K31" s="543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</row>
    <row r="32" ht="17.25" customHeight="1">
      <c r="A32" s="551"/>
    </row>
    <row r="33" spans="1:8" s="553" customFormat="1" ht="15" customHeight="1">
      <c r="A33" s="552" t="s">
        <v>269</v>
      </c>
      <c r="B33" s="552"/>
      <c r="C33" s="552"/>
      <c r="D33" s="552"/>
      <c r="E33" s="552"/>
      <c r="F33" s="552"/>
      <c r="G33" s="552"/>
      <c r="H33" s="552"/>
    </row>
    <row r="34" s="554" customFormat="1" ht="15" customHeight="1">
      <c r="A34" s="554" t="s">
        <v>436</v>
      </c>
    </row>
    <row r="35" spans="1:9" s="554" customFormat="1" ht="18.75" customHeight="1">
      <c r="A35" s="1394" t="s">
        <v>153</v>
      </c>
      <c r="B35" s="1394"/>
      <c r="C35" s="1394"/>
      <c r="D35" s="1394"/>
      <c r="E35" s="1394"/>
      <c r="F35" s="1394"/>
      <c r="G35" s="1394"/>
      <c r="H35" s="1394"/>
      <c r="I35" s="1394"/>
    </row>
    <row r="36" spans="1:9" s="554" customFormat="1" ht="18" customHeight="1">
      <c r="A36" s="494" t="s">
        <v>149</v>
      </c>
      <c r="B36" s="494"/>
      <c r="C36" s="555"/>
      <c r="D36" s="555"/>
      <c r="E36" s="555"/>
      <c r="F36" s="555"/>
      <c r="G36" s="555"/>
      <c r="H36" s="555"/>
      <c r="I36" s="555"/>
    </row>
  </sheetData>
  <mergeCells count="6">
    <mergeCell ref="A35:I35"/>
    <mergeCell ref="A27:B27"/>
    <mergeCell ref="C3:C6"/>
    <mergeCell ref="C22:C25"/>
    <mergeCell ref="D4:E5"/>
    <mergeCell ref="D23:E24"/>
  </mergeCells>
  <printOptions horizontalCentered="1"/>
  <pageMargins left="0.53" right="0.27" top="0.52" bottom="0.25" header="0.28" footer="0.25"/>
  <pageSetup horizontalDpi="300" verticalDpi="300" orientation="portrait" paperSize="9" r:id="rId1"/>
  <headerFooter alignWithMargins="0">
    <oddHeader>&amp;C&amp;"Times New Roman,Regular"&amp;11- 19 -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V32"/>
  <sheetViews>
    <sheetView workbookViewId="0" topLeftCell="G7">
      <selection activeCell="O10" sqref="O10"/>
    </sheetView>
  </sheetViews>
  <sheetFormatPr defaultColWidth="9.140625" defaultRowHeight="12.75"/>
  <cols>
    <col min="1" max="1" width="32.421875" style="494" customWidth="1"/>
    <col min="2" max="2" width="9.00390625" style="557" customWidth="1"/>
    <col min="3" max="3" width="8.00390625" style="557" customWidth="1"/>
    <col min="4" max="4" width="8.140625" style="557" customWidth="1"/>
    <col min="5" max="5" width="8.28125" style="557" customWidth="1"/>
    <col min="6" max="6" width="8.00390625" style="557" customWidth="1"/>
    <col min="7" max="8" width="8.140625" style="557" customWidth="1"/>
    <col min="9" max="9" width="8.00390625" style="557" customWidth="1"/>
    <col min="10" max="10" width="8.140625" style="494" customWidth="1"/>
    <col min="11" max="11" width="7.28125" style="0" customWidth="1"/>
    <col min="12" max="12" width="7.140625" style="0" customWidth="1"/>
    <col min="13" max="13" width="7.57421875" style="0" customWidth="1"/>
    <col min="14" max="14" width="8.28125" style="143" customWidth="1"/>
    <col min="231" max="16384" width="9.140625" style="494" customWidth="1"/>
  </cols>
  <sheetData>
    <row r="1" spans="1:230" s="492" customFormat="1" ht="21" customHeight="1">
      <c r="A1" s="492" t="s">
        <v>401</v>
      </c>
      <c r="B1" s="556"/>
      <c r="C1" s="556"/>
      <c r="D1" s="556"/>
      <c r="E1" s="556"/>
      <c r="F1" s="556"/>
      <c r="G1" s="556"/>
      <c r="H1" s="556"/>
      <c r="I1" s="556"/>
      <c r="K1" s="493"/>
      <c r="L1" s="493"/>
      <c r="M1" s="49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</row>
    <row r="2" ht="7.5" customHeight="1"/>
    <row r="3" spans="1:230" s="500" customFormat="1" ht="14.25" customHeight="1">
      <c r="A3" s="1226" t="s">
        <v>17</v>
      </c>
      <c r="B3" s="1405" t="s">
        <v>82</v>
      </c>
      <c r="C3" s="1406"/>
      <c r="D3" s="1407"/>
      <c r="E3" s="1405" t="s">
        <v>154</v>
      </c>
      <c r="F3" s="1406"/>
      <c r="G3" s="1407"/>
      <c r="H3" s="1412" t="s">
        <v>84</v>
      </c>
      <c r="I3" s="1413"/>
      <c r="J3" s="1413"/>
      <c r="K3" s="1413"/>
      <c r="L3" s="1413"/>
      <c r="M3" s="1414"/>
      <c r="N3" s="14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s="500" customFormat="1" ht="14.25" customHeight="1">
      <c r="A4" s="1261"/>
      <c r="B4" s="1408"/>
      <c r="C4" s="1409"/>
      <c r="D4" s="1410"/>
      <c r="E4" s="1408"/>
      <c r="F4" s="1409"/>
      <c r="G4" s="1410"/>
      <c r="H4" s="1412" t="s">
        <v>155</v>
      </c>
      <c r="I4" s="1413"/>
      <c r="J4" s="1414"/>
      <c r="K4" s="1412" t="s">
        <v>85</v>
      </c>
      <c r="L4" s="1413"/>
      <c r="M4" s="1414"/>
      <c r="N4" s="14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s="500" customFormat="1" ht="14.25" customHeight="1">
      <c r="A5" s="1264"/>
      <c r="B5" s="558" t="s">
        <v>5</v>
      </c>
      <c r="C5" s="560" t="s">
        <v>47</v>
      </c>
      <c r="D5" s="561" t="s">
        <v>48</v>
      </c>
      <c r="E5" s="558" t="s">
        <v>5</v>
      </c>
      <c r="F5" s="560" t="s">
        <v>47</v>
      </c>
      <c r="G5" s="559" t="s">
        <v>48</v>
      </c>
      <c r="H5" s="558" t="s">
        <v>5</v>
      </c>
      <c r="I5" s="560" t="s">
        <v>47</v>
      </c>
      <c r="J5" s="559" t="s">
        <v>48</v>
      </c>
      <c r="K5" s="558" t="s">
        <v>5</v>
      </c>
      <c r="L5" s="560" t="s">
        <v>47</v>
      </c>
      <c r="M5" s="559" t="s">
        <v>48</v>
      </c>
      <c r="N5" s="14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s="500" customFormat="1" ht="20.25" customHeight="1">
      <c r="A6" s="515" t="s">
        <v>63</v>
      </c>
      <c r="B6" s="562">
        <f>SUM(C6,D6)</f>
        <v>15785</v>
      </c>
      <c r="C6" s="563">
        <f>SUM(F6,I6,L6)</f>
        <v>7375</v>
      </c>
      <c r="D6" s="564">
        <f>SUM(G6,J6,M6)</f>
        <v>8410</v>
      </c>
      <c r="E6" s="562">
        <f>F6+G6</f>
        <v>5179</v>
      </c>
      <c r="F6" s="565">
        <v>2449</v>
      </c>
      <c r="G6" s="564">
        <v>2730</v>
      </c>
      <c r="H6" s="562">
        <f>I6+J6</f>
        <v>8964</v>
      </c>
      <c r="I6" s="565">
        <f>3718+232</f>
        <v>3950</v>
      </c>
      <c r="J6" s="566">
        <f>3875+1139</f>
        <v>5014</v>
      </c>
      <c r="K6" s="562">
        <f>L6+M6</f>
        <v>1642</v>
      </c>
      <c r="L6" s="565">
        <v>976</v>
      </c>
      <c r="M6" s="566">
        <v>666</v>
      </c>
      <c r="N6" s="14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s="500" customFormat="1" ht="20.25" customHeight="1">
      <c r="A7" s="515" t="s">
        <v>64</v>
      </c>
      <c r="B7" s="562">
        <f aca="true" t="shared" si="0" ref="B7:B14">SUM(C7,D7)</f>
        <v>9617</v>
      </c>
      <c r="C7" s="565">
        <f aca="true" t="shared" si="1" ref="C7:C14">SUM(F7,I7,L7)</f>
        <v>4605</v>
      </c>
      <c r="D7" s="564">
        <f aca="true" t="shared" si="2" ref="D7:D14">SUM(G7,J7,M7)</f>
        <v>5012</v>
      </c>
      <c r="E7" s="562">
        <f aca="true" t="shared" si="3" ref="E7:E17">F7+G7</f>
        <v>5667</v>
      </c>
      <c r="F7" s="565">
        <v>2806</v>
      </c>
      <c r="G7" s="564">
        <v>2861</v>
      </c>
      <c r="H7" s="562">
        <f aca="true" t="shared" si="4" ref="H7:H17">I7+J7</f>
        <v>3950</v>
      </c>
      <c r="I7" s="565">
        <v>1799</v>
      </c>
      <c r="J7" s="566">
        <v>2151</v>
      </c>
      <c r="K7" s="567" t="s">
        <v>40</v>
      </c>
      <c r="L7" s="568" t="s">
        <v>40</v>
      </c>
      <c r="M7" s="569" t="s">
        <v>40</v>
      </c>
      <c r="N7" s="14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s="500" customFormat="1" ht="20.25" customHeight="1">
      <c r="A8" s="515" t="s">
        <v>66</v>
      </c>
      <c r="B8" s="562">
        <f t="shared" si="0"/>
        <v>9856</v>
      </c>
      <c r="C8" s="565">
        <f t="shared" si="1"/>
        <v>4861</v>
      </c>
      <c r="D8" s="564">
        <f t="shared" si="2"/>
        <v>4995</v>
      </c>
      <c r="E8" s="562">
        <f t="shared" si="3"/>
        <v>4680</v>
      </c>
      <c r="F8" s="565">
        <v>2718</v>
      </c>
      <c r="G8" s="564">
        <v>1962</v>
      </c>
      <c r="H8" s="562">
        <f t="shared" si="4"/>
        <v>4637</v>
      </c>
      <c r="I8" s="565">
        <v>1876</v>
      </c>
      <c r="J8" s="566">
        <v>2761</v>
      </c>
      <c r="K8" s="562">
        <f aca="true" t="shared" si="5" ref="K8:K13">SUM(L8,M8)</f>
        <v>539</v>
      </c>
      <c r="L8" s="565">
        <v>267</v>
      </c>
      <c r="M8" s="566">
        <v>272</v>
      </c>
      <c r="N8" s="14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s="500" customFormat="1" ht="20.25" customHeight="1">
      <c r="A9" s="515" t="s">
        <v>67</v>
      </c>
      <c r="B9" s="562">
        <f t="shared" si="0"/>
        <v>12956</v>
      </c>
      <c r="C9" s="565">
        <f t="shared" si="1"/>
        <v>6082</v>
      </c>
      <c r="D9" s="564">
        <f t="shared" si="2"/>
        <v>6874</v>
      </c>
      <c r="E9" s="562">
        <f t="shared" si="3"/>
        <v>6039</v>
      </c>
      <c r="F9" s="565">
        <v>2439</v>
      </c>
      <c r="G9" s="564">
        <v>3600</v>
      </c>
      <c r="H9" s="562">
        <f t="shared" si="4"/>
        <v>6917</v>
      </c>
      <c r="I9" s="565">
        <v>3643</v>
      </c>
      <c r="J9" s="566">
        <v>3274</v>
      </c>
      <c r="K9" s="567" t="s">
        <v>40</v>
      </c>
      <c r="L9" s="568" t="s">
        <v>40</v>
      </c>
      <c r="M9" s="569" t="s">
        <v>40</v>
      </c>
      <c r="N9" s="1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s="500" customFormat="1" ht="20.25" customHeight="1">
      <c r="A10" s="515" t="s">
        <v>68</v>
      </c>
      <c r="B10" s="562">
        <f t="shared" si="0"/>
        <v>6527</v>
      </c>
      <c r="C10" s="565">
        <f t="shared" si="1"/>
        <v>2780</v>
      </c>
      <c r="D10" s="564">
        <f t="shared" si="2"/>
        <v>3747</v>
      </c>
      <c r="E10" s="562">
        <f t="shared" si="3"/>
        <v>2778</v>
      </c>
      <c r="F10" s="565">
        <v>1430</v>
      </c>
      <c r="G10" s="564">
        <v>1348</v>
      </c>
      <c r="H10" s="562">
        <f t="shared" si="4"/>
        <v>3749</v>
      </c>
      <c r="I10" s="565">
        <v>1350</v>
      </c>
      <c r="J10" s="566">
        <v>2399</v>
      </c>
      <c r="K10" s="567" t="s">
        <v>40</v>
      </c>
      <c r="L10" s="568" t="s">
        <v>40</v>
      </c>
      <c r="M10" s="569" t="s">
        <v>40</v>
      </c>
      <c r="N10" s="14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230" s="500" customFormat="1" ht="20.25" customHeight="1">
      <c r="A11" s="515" t="s">
        <v>69</v>
      </c>
      <c r="B11" s="562">
        <f t="shared" si="0"/>
        <v>4499</v>
      </c>
      <c r="C11" s="565">
        <f t="shared" si="1"/>
        <v>2306</v>
      </c>
      <c r="D11" s="564">
        <f t="shared" si="2"/>
        <v>2193</v>
      </c>
      <c r="E11" s="562">
        <f t="shared" si="3"/>
        <v>2659</v>
      </c>
      <c r="F11" s="565">
        <v>1497</v>
      </c>
      <c r="G11" s="564">
        <v>1162</v>
      </c>
      <c r="H11" s="562">
        <f t="shared" si="4"/>
        <v>1840</v>
      </c>
      <c r="I11" s="565">
        <v>809</v>
      </c>
      <c r="J11" s="566">
        <v>1031</v>
      </c>
      <c r="K11" s="567" t="s">
        <v>40</v>
      </c>
      <c r="L11" s="568" t="s">
        <v>40</v>
      </c>
      <c r="M11" s="569" t="s">
        <v>40</v>
      </c>
      <c r="N11" s="1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</row>
    <row r="12" spans="1:230" s="500" customFormat="1" ht="20.25" customHeight="1">
      <c r="A12" s="515" t="s">
        <v>70</v>
      </c>
      <c r="B12" s="562">
        <f t="shared" si="0"/>
        <v>45452</v>
      </c>
      <c r="C12" s="565">
        <f t="shared" si="1"/>
        <v>22854</v>
      </c>
      <c r="D12" s="564">
        <f t="shared" si="2"/>
        <v>22598</v>
      </c>
      <c r="E12" s="562">
        <f t="shared" si="3"/>
        <v>15086</v>
      </c>
      <c r="F12" s="565">
        <v>7296</v>
      </c>
      <c r="G12" s="564">
        <v>7790</v>
      </c>
      <c r="H12" s="562">
        <f t="shared" si="4"/>
        <v>27590</v>
      </c>
      <c r="I12" s="565">
        <f>13982+112</f>
        <v>14094</v>
      </c>
      <c r="J12" s="566">
        <f>13384+112</f>
        <v>13496</v>
      </c>
      <c r="K12" s="562">
        <f t="shared" si="5"/>
        <v>2776</v>
      </c>
      <c r="L12" s="565">
        <v>1464</v>
      </c>
      <c r="M12" s="566">
        <v>1312</v>
      </c>
      <c r="N12" s="14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  <row r="13" spans="1:230" s="500" customFormat="1" ht="20.25" customHeight="1">
      <c r="A13" s="515" t="s">
        <v>71</v>
      </c>
      <c r="B13" s="562">
        <f t="shared" si="0"/>
        <v>6061</v>
      </c>
      <c r="C13" s="565">
        <f t="shared" si="1"/>
        <v>2590</v>
      </c>
      <c r="D13" s="564">
        <f t="shared" si="2"/>
        <v>3471</v>
      </c>
      <c r="E13" s="562">
        <f t="shared" si="3"/>
        <v>3158</v>
      </c>
      <c r="F13" s="565">
        <v>1386</v>
      </c>
      <c r="G13" s="564">
        <v>1772</v>
      </c>
      <c r="H13" s="562">
        <f t="shared" si="4"/>
        <v>1525</v>
      </c>
      <c r="I13" s="565">
        <v>446</v>
      </c>
      <c r="J13" s="566">
        <v>1079</v>
      </c>
      <c r="K13" s="562">
        <f t="shared" si="5"/>
        <v>1378</v>
      </c>
      <c r="L13" s="565">
        <v>758</v>
      </c>
      <c r="M13" s="566">
        <v>620</v>
      </c>
      <c r="N13" s="1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s="500" customFormat="1" ht="20.25" customHeight="1">
      <c r="A14" s="515" t="s">
        <v>72</v>
      </c>
      <c r="B14" s="562">
        <f t="shared" si="0"/>
        <v>2242</v>
      </c>
      <c r="C14" s="565">
        <f t="shared" si="1"/>
        <v>812</v>
      </c>
      <c r="D14" s="564">
        <f t="shared" si="2"/>
        <v>1430</v>
      </c>
      <c r="E14" s="562">
        <f t="shared" si="3"/>
        <v>1794</v>
      </c>
      <c r="F14" s="565">
        <v>586</v>
      </c>
      <c r="G14" s="564">
        <v>1208</v>
      </c>
      <c r="H14" s="562">
        <f t="shared" si="4"/>
        <v>448</v>
      </c>
      <c r="I14" s="565">
        <v>226</v>
      </c>
      <c r="J14" s="566">
        <v>222</v>
      </c>
      <c r="K14" s="567" t="s">
        <v>40</v>
      </c>
      <c r="L14" s="568" t="s">
        <v>40</v>
      </c>
      <c r="M14" s="569" t="s">
        <v>40</v>
      </c>
      <c r="N14" s="1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s="500" customFormat="1" ht="20.25" customHeight="1">
      <c r="A15" s="495" t="s">
        <v>73</v>
      </c>
      <c r="B15" s="570">
        <f>SUM(C15,D15)</f>
        <v>112995</v>
      </c>
      <c r="C15" s="563">
        <f aca="true" t="shared" si="6" ref="C15:D17">SUM(F15,I15,L15)</f>
        <v>54265</v>
      </c>
      <c r="D15" s="571">
        <f t="shared" si="6"/>
        <v>58730</v>
      </c>
      <c r="E15" s="570">
        <f t="shared" si="3"/>
        <v>47040</v>
      </c>
      <c r="F15" s="563">
        <f>SUM(F6:F14)</f>
        <v>22607</v>
      </c>
      <c r="G15" s="571">
        <f>SUM(G6:G14)</f>
        <v>24433</v>
      </c>
      <c r="H15" s="570">
        <f t="shared" si="4"/>
        <v>59620</v>
      </c>
      <c r="I15" s="563">
        <f>SUM(I6:I14)</f>
        <v>28193</v>
      </c>
      <c r="J15" s="572">
        <f>SUM(J6:J14)</f>
        <v>31427</v>
      </c>
      <c r="K15" s="570">
        <f>L15+M15</f>
        <v>6335</v>
      </c>
      <c r="L15" s="563">
        <f>SUM(L6:L14)</f>
        <v>3465</v>
      </c>
      <c r="M15" s="572">
        <f>SUM(M6:M14)</f>
        <v>2870</v>
      </c>
      <c r="N15" s="14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s="500" customFormat="1" ht="20.25" customHeight="1">
      <c r="A16" s="515" t="s">
        <v>74</v>
      </c>
      <c r="B16" s="573">
        <f>SUM(C16,D16)</f>
        <v>3508</v>
      </c>
      <c r="C16" s="574">
        <f t="shared" si="6"/>
        <v>1608</v>
      </c>
      <c r="D16" s="575">
        <f t="shared" si="6"/>
        <v>1900</v>
      </c>
      <c r="E16" s="576" t="s">
        <v>40</v>
      </c>
      <c r="F16" s="577" t="s">
        <v>40</v>
      </c>
      <c r="G16" s="567" t="s">
        <v>40</v>
      </c>
      <c r="H16" s="573">
        <f t="shared" si="4"/>
        <v>3508</v>
      </c>
      <c r="I16" s="574">
        <f>423+1185</f>
        <v>1608</v>
      </c>
      <c r="J16" s="578">
        <f>464+1436</f>
        <v>1900</v>
      </c>
      <c r="K16" s="567" t="s">
        <v>40</v>
      </c>
      <c r="L16" s="568" t="s">
        <v>40</v>
      </c>
      <c r="M16" s="569" t="s">
        <v>40</v>
      </c>
      <c r="N16" s="14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</row>
    <row r="17" spans="1:230" s="500" customFormat="1" ht="20.25" customHeight="1">
      <c r="A17" s="535" t="s">
        <v>75</v>
      </c>
      <c r="B17" s="579">
        <f>SUM(C17,D17)</f>
        <v>116503</v>
      </c>
      <c r="C17" s="580">
        <f t="shared" si="6"/>
        <v>55873</v>
      </c>
      <c r="D17" s="581">
        <f t="shared" si="6"/>
        <v>60630</v>
      </c>
      <c r="E17" s="579">
        <f t="shared" si="3"/>
        <v>47040</v>
      </c>
      <c r="F17" s="580">
        <f>SUM(F15:F16)</f>
        <v>22607</v>
      </c>
      <c r="G17" s="582">
        <f>SUM(G15:G16)</f>
        <v>24433</v>
      </c>
      <c r="H17" s="579">
        <f t="shared" si="4"/>
        <v>63128</v>
      </c>
      <c r="I17" s="580">
        <f>SUM(I15:I16)</f>
        <v>29801</v>
      </c>
      <c r="J17" s="581">
        <f>SUM(J15:J16)</f>
        <v>33327</v>
      </c>
      <c r="K17" s="579">
        <f>L17+M17</f>
        <v>6335</v>
      </c>
      <c r="L17" s="580">
        <f>SUM(L15:L16)</f>
        <v>3465</v>
      </c>
      <c r="M17" s="581">
        <f>SUM(M15:M16)</f>
        <v>2870</v>
      </c>
      <c r="N17" s="14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2:230" s="500" customFormat="1" ht="13.5" customHeight="1">
      <c r="B18" s="557"/>
      <c r="C18" s="557"/>
      <c r="D18" s="557"/>
      <c r="E18" s="571"/>
      <c r="F18" s="571"/>
      <c r="G18" s="571"/>
      <c r="H18" s="571"/>
      <c r="I18" s="571"/>
      <c r="J18" s="571"/>
      <c r="K18" s="583"/>
      <c r="L18" s="583"/>
      <c r="M18" s="583"/>
      <c r="N18" s="14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s="492" customFormat="1" ht="21.75" customHeight="1">
      <c r="A19" s="492" t="s">
        <v>402</v>
      </c>
      <c r="B19" s="557"/>
      <c r="C19" s="557"/>
      <c r="D19" s="557"/>
      <c r="E19" s="557"/>
      <c r="F19" s="557"/>
      <c r="G19" s="557"/>
      <c r="H19" s="557"/>
      <c r="I19" s="557"/>
      <c r="J19" s="494"/>
      <c r="K19" s="583"/>
      <c r="L19" s="583"/>
      <c r="M19" s="583"/>
      <c r="N19" s="14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2:230" s="500" customFormat="1" ht="7.5" customHeight="1">
      <c r="B20" s="557"/>
      <c r="C20" s="557"/>
      <c r="D20" s="557"/>
      <c r="E20" s="575"/>
      <c r="F20" s="564"/>
      <c r="G20" s="564"/>
      <c r="H20" s="564"/>
      <c r="I20" s="564"/>
      <c r="J20" s="564"/>
      <c r="K20" s="583"/>
      <c r="L20" s="583"/>
      <c r="M20" s="583"/>
      <c r="N20" s="14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s="500" customFormat="1" ht="14.25" customHeight="1">
      <c r="A21" s="1273" t="s">
        <v>34</v>
      </c>
      <c r="B21" s="1405" t="s">
        <v>82</v>
      </c>
      <c r="C21" s="1406"/>
      <c r="D21" s="1407"/>
      <c r="E21" s="1405" t="s">
        <v>154</v>
      </c>
      <c r="F21" s="1406"/>
      <c r="G21" s="1407"/>
      <c r="H21" s="1412" t="s">
        <v>86</v>
      </c>
      <c r="I21" s="1413"/>
      <c r="J21" s="1413"/>
      <c r="K21" s="1413"/>
      <c r="L21" s="1413"/>
      <c r="M21" s="1414"/>
      <c r="N21" s="14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s="500" customFormat="1" ht="12.75" customHeight="1">
      <c r="A22" s="1404"/>
      <c r="B22" s="1408"/>
      <c r="C22" s="1409"/>
      <c r="D22" s="1410"/>
      <c r="E22" s="1408"/>
      <c r="F22" s="1409"/>
      <c r="G22" s="1410"/>
      <c r="H22" s="1412" t="s">
        <v>155</v>
      </c>
      <c r="I22" s="1413"/>
      <c r="J22" s="1414"/>
      <c r="K22" s="1412" t="s">
        <v>85</v>
      </c>
      <c r="L22" s="1413"/>
      <c r="M22" s="1414"/>
      <c r="N22" s="14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1:230" s="500" customFormat="1" ht="14.25" customHeight="1">
      <c r="A23" s="1274"/>
      <c r="B23" s="558" t="s">
        <v>5</v>
      </c>
      <c r="C23" s="560" t="s">
        <v>47</v>
      </c>
      <c r="D23" s="561" t="s">
        <v>48</v>
      </c>
      <c r="E23" s="558" t="s">
        <v>5</v>
      </c>
      <c r="F23" s="560" t="s">
        <v>47</v>
      </c>
      <c r="G23" s="559" t="s">
        <v>48</v>
      </c>
      <c r="H23" s="558" t="s">
        <v>5</v>
      </c>
      <c r="I23" s="560" t="s">
        <v>47</v>
      </c>
      <c r="J23" s="559" t="s">
        <v>48</v>
      </c>
      <c r="K23" s="558" t="s">
        <v>5</v>
      </c>
      <c r="L23" s="560" t="s">
        <v>47</v>
      </c>
      <c r="M23" s="559" t="s">
        <v>48</v>
      </c>
      <c r="N23" s="14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s="500" customFormat="1" ht="21.75" customHeight="1">
      <c r="A24" s="515" t="s">
        <v>35</v>
      </c>
      <c r="B24" s="562">
        <f aca="true" t="shared" si="7" ref="B24:D27">E24+H24+K24</f>
        <v>35786</v>
      </c>
      <c r="C24" s="565">
        <f t="shared" si="7"/>
        <v>16841</v>
      </c>
      <c r="D24" s="564">
        <f t="shared" si="7"/>
        <v>18945</v>
      </c>
      <c r="E24" s="562">
        <f aca="true" t="shared" si="8" ref="E24:E29">F24+G24</f>
        <v>16054</v>
      </c>
      <c r="F24" s="565">
        <v>7973</v>
      </c>
      <c r="G24" s="564">
        <v>8081</v>
      </c>
      <c r="H24" s="562">
        <f aca="true" t="shared" si="9" ref="H24:H29">I24+J24</f>
        <v>17551</v>
      </c>
      <c r="I24" s="565">
        <f>7393+232</f>
        <v>7625</v>
      </c>
      <c r="J24" s="566">
        <f>8787+1139</f>
        <v>9926</v>
      </c>
      <c r="K24" s="562">
        <f aca="true" t="shared" si="10" ref="K24:K29">L24+M24</f>
        <v>2181</v>
      </c>
      <c r="L24" s="565">
        <v>1243</v>
      </c>
      <c r="M24" s="566">
        <v>938</v>
      </c>
      <c r="N24" s="14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1:230" s="500" customFormat="1" ht="21.75" customHeight="1">
      <c r="A25" s="515" t="s">
        <v>36</v>
      </c>
      <c r="B25" s="562">
        <f t="shared" si="7"/>
        <v>29698</v>
      </c>
      <c r="C25" s="565">
        <f t="shared" si="7"/>
        <v>14456</v>
      </c>
      <c r="D25" s="564">
        <f t="shared" si="7"/>
        <v>15242</v>
      </c>
      <c r="E25" s="562">
        <f t="shared" si="8"/>
        <v>12062</v>
      </c>
      <c r="F25" s="565">
        <v>5394</v>
      </c>
      <c r="G25" s="564">
        <v>6668</v>
      </c>
      <c r="H25" s="562">
        <f t="shared" si="9"/>
        <v>16134</v>
      </c>
      <c r="I25" s="565">
        <v>8223</v>
      </c>
      <c r="J25" s="566">
        <v>7911</v>
      </c>
      <c r="K25" s="562">
        <f t="shared" si="10"/>
        <v>1502</v>
      </c>
      <c r="L25" s="565">
        <v>839</v>
      </c>
      <c r="M25" s="566">
        <v>663</v>
      </c>
      <c r="N25" s="14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1:230" s="500" customFormat="1" ht="21.75" customHeight="1">
      <c r="A26" s="515" t="s">
        <v>37</v>
      </c>
      <c r="B26" s="562">
        <f t="shared" si="7"/>
        <v>27919</v>
      </c>
      <c r="C26" s="565">
        <f t="shared" si="7"/>
        <v>13735</v>
      </c>
      <c r="D26" s="564">
        <f t="shared" si="7"/>
        <v>14184</v>
      </c>
      <c r="E26" s="562">
        <f t="shared" si="8"/>
        <v>8908</v>
      </c>
      <c r="F26" s="565">
        <v>4739</v>
      </c>
      <c r="G26" s="564">
        <v>4169</v>
      </c>
      <c r="H26" s="562">
        <f t="shared" si="9"/>
        <v>16650</v>
      </c>
      <c r="I26" s="565">
        <v>7773</v>
      </c>
      <c r="J26" s="566">
        <v>8877</v>
      </c>
      <c r="K26" s="562">
        <f t="shared" si="10"/>
        <v>2361</v>
      </c>
      <c r="L26" s="565">
        <v>1223</v>
      </c>
      <c r="M26" s="566">
        <v>1138</v>
      </c>
      <c r="N26" s="14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</row>
    <row r="27" spans="1:230" s="500" customFormat="1" ht="21.75" customHeight="1">
      <c r="A27" s="515" t="s">
        <v>55</v>
      </c>
      <c r="B27" s="562">
        <f t="shared" si="7"/>
        <v>19592</v>
      </c>
      <c r="C27" s="565">
        <f t="shared" si="7"/>
        <v>9233</v>
      </c>
      <c r="D27" s="564">
        <f t="shared" si="7"/>
        <v>10359</v>
      </c>
      <c r="E27" s="562">
        <f t="shared" si="8"/>
        <v>10016</v>
      </c>
      <c r="F27" s="565">
        <v>4501</v>
      </c>
      <c r="G27" s="564">
        <v>5515</v>
      </c>
      <c r="H27" s="562">
        <f t="shared" si="9"/>
        <v>9285</v>
      </c>
      <c r="I27" s="565">
        <f>4460+112</f>
        <v>4572</v>
      </c>
      <c r="J27" s="566">
        <f>4601+112</f>
        <v>4713</v>
      </c>
      <c r="K27" s="562">
        <f t="shared" si="10"/>
        <v>291</v>
      </c>
      <c r="L27" s="565">
        <v>160</v>
      </c>
      <c r="M27" s="566">
        <v>131</v>
      </c>
      <c r="N27" s="14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</row>
    <row r="28" spans="1:230" s="500" customFormat="1" ht="21.75" customHeight="1">
      <c r="A28" s="515" t="s">
        <v>39</v>
      </c>
      <c r="B28" s="562">
        <f>SUM(E28,H28,K28)</f>
        <v>3508</v>
      </c>
      <c r="C28" s="565">
        <f>SUM(F28,I28,L28)</f>
        <v>1608</v>
      </c>
      <c r="D28" s="564">
        <f>SUM(G28,J28,M28)</f>
        <v>1900</v>
      </c>
      <c r="E28" s="576" t="s">
        <v>40</v>
      </c>
      <c r="F28" s="577" t="s">
        <v>40</v>
      </c>
      <c r="G28" s="567" t="s">
        <v>40</v>
      </c>
      <c r="H28" s="562">
        <f t="shared" si="9"/>
        <v>3508</v>
      </c>
      <c r="I28" s="565">
        <f>423+1185</f>
        <v>1608</v>
      </c>
      <c r="J28" s="566">
        <f>464+1436</f>
        <v>1900</v>
      </c>
      <c r="K28" s="576" t="s">
        <v>40</v>
      </c>
      <c r="L28" s="577" t="s">
        <v>40</v>
      </c>
      <c r="M28" s="584" t="s">
        <v>40</v>
      </c>
      <c r="N28" s="14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s="500" customFormat="1" ht="21.75" customHeight="1">
      <c r="A29" s="535" t="s">
        <v>56</v>
      </c>
      <c r="B29" s="579">
        <f>E29+H29+K29</f>
        <v>116503</v>
      </c>
      <c r="C29" s="580">
        <f>F29+I29+L29</f>
        <v>55873</v>
      </c>
      <c r="D29" s="582">
        <f>G29+J29+M29</f>
        <v>60630</v>
      </c>
      <c r="E29" s="579">
        <f t="shared" si="8"/>
        <v>47040</v>
      </c>
      <c r="F29" s="580">
        <f>SUM(F24:F28)</f>
        <v>22607</v>
      </c>
      <c r="G29" s="582">
        <f>SUM(G24:G28)</f>
        <v>24433</v>
      </c>
      <c r="H29" s="579">
        <f t="shared" si="9"/>
        <v>63128</v>
      </c>
      <c r="I29" s="580">
        <f>SUM(I24:I28)</f>
        <v>29801</v>
      </c>
      <c r="J29" s="581">
        <f>SUM(J24:J28)</f>
        <v>33327</v>
      </c>
      <c r="K29" s="579">
        <f t="shared" si="10"/>
        <v>6335</v>
      </c>
      <c r="L29" s="580">
        <f>SUM(L24:L28)</f>
        <v>3465</v>
      </c>
      <c r="M29" s="581">
        <f>SUM(M24:M28)</f>
        <v>2870</v>
      </c>
      <c r="N29" s="14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ht="6.75" customHeight="1">
      <c r="A30" s="551"/>
    </row>
    <row r="31" spans="1:230" s="554" customFormat="1" ht="15" customHeight="1">
      <c r="A31" s="554" t="s">
        <v>262</v>
      </c>
      <c r="N31" s="1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s="585" customFormat="1" ht="16.5" customHeight="1">
      <c r="A32" s="1411" t="s">
        <v>268</v>
      </c>
      <c r="B32" s="1411"/>
      <c r="C32" s="1411"/>
      <c r="D32" s="1411"/>
      <c r="E32" s="1411"/>
      <c r="F32" s="1411"/>
      <c r="G32" s="1411"/>
      <c r="H32" s="1411"/>
      <c r="I32" s="1411"/>
      <c r="J32" s="1411"/>
      <c r="N32" s="1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ht="12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</sheetData>
  <mergeCells count="13">
    <mergeCell ref="H22:J22"/>
    <mergeCell ref="K22:M22"/>
    <mergeCell ref="B21:D22"/>
    <mergeCell ref="A21:A23"/>
    <mergeCell ref="E21:G22"/>
    <mergeCell ref="A3:A5"/>
    <mergeCell ref="A32:J32"/>
    <mergeCell ref="H3:M3"/>
    <mergeCell ref="H4:J4"/>
    <mergeCell ref="K4:M4"/>
    <mergeCell ref="E3:G4"/>
    <mergeCell ref="B3:D4"/>
    <mergeCell ref="H21:M21"/>
  </mergeCells>
  <printOptions/>
  <pageMargins left="0.24" right="0.2" top="0.5" bottom="0.1" header="0.25" footer="0.2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140625" defaultRowHeight="12.75"/>
  <cols>
    <col min="1" max="1" width="34.28125" style="590" customWidth="1"/>
    <col min="2" max="6" width="7.140625" style="590" customWidth="1"/>
    <col min="7" max="8" width="7.28125" style="590" customWidth="1"/>
    <col min="9" max="9" width="7.7109375" style="590" customWidth="1"/>
    <col min="10" max="10" width="6.28125" style="590" customWidth="1"/>
    <col min="11" max="11" width="5.00390625" style="590" customWidth="1"/>
    <col min="12" max="16384" width="9.140625" style="590" customWidth="1"/>
  </cols>
  <sheetData>
    <row r="1" ht="24.75" customHeight="1">
      <c r="A1" s="589" t="s">
        <v>399</v>
      </c>
    </row>
    <row r="2" ht="15.75" customHeight="1">
      <c r="A2" s="591"/>
    </row>
    <row r="3" spans="1:9" s="594" customFormat="1" ht="28.5" customHeight="1">
      <c r="A3" s="1415" t="s">
        <v>17</v>
      </c>
      <c r="B3" s="592" t="s">
        <v>105</v>
      </c>
      <c r="C3" s="592"/>
      <c r="D3" s="592"/>
      <c r="E3" s="592"/>
      <c r="F3" s="592"/>
      <c r="G3" s="592"/>
      <c r="H3" s="593"/>
      <c r="I3" s="592" t="s">
        <v>156</v>
      </c>
    </row>
    <row r="4" spans="1:9" s="594" customFormat="1" ht="28.5" customHeight="1">
      <c r="A4" s="1416"/>
      <c r="B4" s="595" t="s">
        <v>91</v>
      </c>
      <c r="C4" s="596" t="s">
        <v>92</v>
      </c>
      <c r="D4" s="596" t="s">
        <v>93</v>
      </c>
      <c r="E4" s="596" t="s">
        <v>94</v>
      </c>
      <c r="F4" s="596" t="s">
        <v>95</v>
      </c>
      <c r="G4" s="597" t="s">
        <v>157</v>
      </c>
      <c r="H4" s="598" t="s">
        <v>158</v>
      </c>
      <c r="I4" s="599" t="s">
        <v>159</v>
      </c>
    </row>
    <row r="5" spans="1:9" s="594" customFormat="1" ht="31.5" customHeight="1">
      <c r="A5" s="600" t="s">
        <v>63</v>
      </c>
      <c r="B5" s="601">
        <v>2277</v>
      </c>
      <c r="C5" s="601">
        <v>2487</v>
      </c>
      <c r="D5" s="601">
        <v>2519</v>
      </c>
      <c r="E5" s="605">
        <v>2552</v>
      </c>
      <c r="F5" s="601">
        <v>2832</v>
      </c>
      <c r="G5" s="601">
        <v>1669</v>
      </c>
      <c r="H5" s="602">
        <v>1449</v>
      </c>
      <c r="I5" s="603">
        <f aca="true" t="shared" si="0" ref="I5:I16">SUM(B5:H5)</f>
        <v>15785</v>
      </c>
    </row>
    <row r="6" spans="1:9" s="594" customFormat="1" ht="31.5" customHeight="1">
      <c r="A6" s="604" t="s">
        <v>64</v>
      </c>
      <c r="B6" s="605">
        <v>1493</v>
      </c>
      <c r="C6" s="605">
        <v>1584</v>
      </c>
      <c r="D6" s="605">
        <v>1437</v>
      </c>
      <c r="E6" s="605">
        <v>1731</v>
      </c>
      <c r="F6" s="605">
        <v>1787</v>
      </c>
      <c r="G6" s="605">
        <v>772</v>
      </c>
      <c r="H6" s="606">
        <v>813</v>
      </c>
      <c r="I6" s="607">
        <f t="shared" si="0"/>
        <v>9617</v>
      </c>
    </row>
    <row r="7" spans="1:9" s="594" customFormat="1" ht="31.5" customHeight="1">
      <c r="A7" s="604" t="s">
        <v>66</v>
      </c>
      <c r="B7" s="605">
        <v>1410</v>
      </c>
      <c r="C7" s="605">
        <v>1613</v>
      </c>
      <c r="D7" s="605">
        <v>1727</v>
      </c>
      <c r="E7" s="605">
        <v>1806</v>
      </c>
      <c r="F7" s="605">
        <v>1695</v>
      </c>
      <c r="G7" s="605">
        <v>826</v>
      </c>
      <c r="H7" s="606">
        <v>779</v>
      </c>
      <c r="I7" s="607">
        <f t="shared" si="0"/>
        <v>9856</v>
      </c>
    </row>
    <row r="8" spans="1:9" s="594" customFormat="1" ht="31.5" customHeight="1">
      <c r="A8" s="604" t="s">
        <v>67</v>
      </c>
      <c r="B8" s="605">
        <v>1822</v>
      </c>
      <c r="C8" s="605">
        <v>1925</v>
      </c>
      <c r="D8" s="605">
        <v>2298</v>
      </c>
      <c r="E8" s="605">
        <v>2333</v>
      </c>
      <c r="F8" s="605">
        <v>2509</v>
      </c>
      <c r="G8" s="605">
        <v>980</v>
      </c>
      <c r="H8" s="606">
        <v>1089</v>
      </c>
      <c r="I8" s="607">
        <f t="shared" si="0"/>
        <v>12956</v>
      </c>
    </row>
    <row r="9" spans="1:9" s="594" customFormat="1" ht="31.5" customHeight="1">
      <c r="A9" s="604" t="s">
        <v>68</v>
      </c>
      <c r="B9" s="605">
        <v>837</v>
      </c>
      <c r="C9" s="605">
        <v>1045</v>
      </c>
      <c r="D9" s="605">
        <v>1068</v>
      </c>
      <c r="E9" s="605">
        <v>1117</v>
      </c>
      <c r="F9" s="605">
        <v>1234</v>
      </c>
      <c r="G9" s="605">
        <v>591</v>
      </c>
      <c r="H9" s="606">
        <v>635</v>
      </c>
      <c r="I9" s="607">
        <f t="shared" si="0"/>
        <v>6527</v>
      </c>
    </row>
    <row r="10" spans="1:9" s="594" customFormat="1" ht="31.5" customHeight="1">
      <c r="A10" s="604" t="s">
        <v>69</v>
      </c>
      <c r="B10" s="605">
        <v>619</v>
      </c>
      <c r="C10" s="605">
        <v>614</v>
      </c>
      <c r="D10" s="605">
        <v>835</v>
      </c>
      <c r="E10" s="605">
        <v>829</v>
      </c>
      <c r="F10" s="605">
        <v>1034</v>
      </c>
      <c r="G10" s="605">
        <v>276</v>
      </c>
      <c r="H10" s="606">
        <v>292</v>
      </c>
      <c r="I10" s="607">
        <f t="shared" si="0"/>
        <v>4499</v>
      </c>
    </row>
    <row r="11" spans="1:9" s="594" customFormat="1" ht="31.5" customHeight="1">
      <c r="A11" s="604" t="s">
        <v>70</v>
      </c>
      <c r="B11" s="605">
        <v>6889</v>
      </c>
      <c r="C11" s="605">
        <v>7027</v>
      </c>
      <c r="D11" s="605">
        <v>6999</v>
      </c>
      <c r="E11" s="605">
        <v>7476</v>
      </c>
      <c r="F11" s="605">
        <v>7884</v>
      </c>
      <c r="G11" s="605">
        <v>4772</v>
      </c>
      <c r="H11" s="606">
        <v>4405</v>
      </c>
      <c r="I11" s="607">
        <f t="shared" si="0"/>
        <v>45452</v>
      </c>
    </row>
    <row r="12" spans="1:9" s="594" customFormat="1" ht="31.5" customHeight="1">
      <c r="A12" s="604" t="s">
        <v>71</v>
      </c>
      <c r="B12" s="605">
        <v>831</v>
      </c>
      <c r="C12" s="605">
        <v>954</v>
      </c>
      <c r="D12" s="605">
        <v>848</v>
      </c>
      <c r="E12" s="605">
        <v>1058</v>
      </c>
      <c r="F12" s="605">
        <v>1176</v>
      </c>
      <c r="G12" s="605">
        <v>643</v>
      </c>
      <c r="H12" s="606">
        <v>551</v>
      </c>
      <c r="I12" s="607">
        <f t="shared" si="0"/>
        <v>6061</v>
      </c>
    </row>
    <row r="13" spans="1:9" s="594" customFormat="1" ht="31.5" customHeight="1">
      <c r="A13" s="604" t="s">
        <v>72</v>
      </c>
      <c r="B13" s="605">
        <v>325</v>
      </c>
      <c r="C13" s="605">
        <v>367</v>
      </c>
      <c r="D13" s="605">
        <v>376</v>
      </c>
      <c r="E13" s="605">
        <v>441</v>
      </c>
      <c r="F13" s="605">
        <v>531</v>
      </c>
      <c r="G13" s="605">
        <v>83</v>
      </c>
      <c r="H13" s="606">
        <v>119</v>
      </c>
      <c r="I13" s="607">
        <f t="shared" si="0"/>
        <v>2242</v>
      </c>
    </row>
    <row r="14" spans="1:9" s="594" customFormat="1" ht="31.5" customHeight="1">
      <c r="A14" s="600" t="s">
        <v>73</v>
      </c>
      <c r="B14" s="601">
        <f aca="true" t="shared" si="1" ref="B14:H14">SUM(B5:B13)</f>
        <v>16503</v>
      </c>
      <c r="C14" s="601">
        <f t="shared" si="1"/>
        <v>17616</v>
      </c>
      <c r="D14" s="601">
        <f t="shared" si="1"/>
        <v>18107</v>
      </c>
      <c r="E14" s="601">
        <f t="shared" si="1"/>
        <v>19343</v>
      </c>
      <c r="F14" s="601">
        <f t="shared" si="1"/>
        <v>20682</v>
      </c>
      <c r="G14" s="601">
        <f t="shared" si="1"/>
        <v>10612</v>
      </c>
      <c r="H14" s="602">
        <f t="shared" si="1"/>
        <v>10132</v>
      </c>
      <c r="I14" s="603">
        <f t="shared" si="0"/>
        <v>112995</v>
      </c>
    </row>
    <row r="15" spans="1:9" s="594" customFormat="1" ht="31.5" customHeight="1">
      <c r="A15" s="604" t="s">
        <v>74</v>
      </c>
      <c r="B15" s="605">
        <v>525</v>
      </c>
      <c r="C15" s="605">
        <v>653</v>
      </c>
      <c r="D15" s="605">
        <v>685</v>
      </c>
      <c r="E15" s="605">
        <v>589</v>
      </c>
      <c r="F15" s="605">
        <v>585</v>
      </c>
      <c r="G15" s="605">
        <v>221</v>
      </c>
      <c r="H15" s="606">
        <v>250</v>
      </c>
      <c r="I15" s="607">
        <f t="shared" si="0"/>
        <v>3508</v>
      </c>
    </row>
    <row r="16" spans="1:9" s="594" customFormat="1" ht="31.5" customHeight="1">
      <c r="A16" s="608" t="s">
        <v>98</v>
      </c>
      <c r="B16" s="609">
        <f>SUM(B14:B15)</f>
        <v>17028</v>
      </c>
      <c r="C16" s="609">
        <f aca="true" t="shared" si="2" ref="C16:H16">SUM(C14:C15)</f>
        <v>18269</v>
      </c>
      <c r="D16" s="609">
        <f t="shared" si="2"/>
        <v>18792</v>
      </c>
      <c r="E16" s="609">
        <f t="shared" si="2"/>
        <v>19932</v>
      </c>
      <c r="F16" s="609">
        <f t="shared" si="2"/>
        <v>21267</v>
      </c>
      <c r="G16" s="609">
        <f t="shared" si="2"/>
        <v>10833</v>
      </c>
      <c r="H16" s="610">
        <f t="shared" si="2"/>
        <v>10382</v>
      </c>
      <c r="I16" s="611">
        <f t="shared" si="0"/>
        <v>116503</v>
      </c>
    </row>
    <row r="17" s="594" customFormat="1" ht="16.5" customHeight="1">
      <c r="A17" s="594" t="s">
        <v>106</v>
      </c>
    </row>
    <row r="18" s="594" customFormat="1" ht="24" customHeight="1">
      <c r="A18" s="589" t="s">
        <v>400</v>
      </c>
    </row>
    <row r="19" s="594" customFormat="1" ht="16.5" customHeight="1"/>
    <row r="20" spans="1:9" s="594" customFormat="1" ht="28.5" customHeight="1">
      <c r="A20" s="1415" t="s">
        <v>34</v>
      </c>
      <c r="B20" s="612" t="s">
        <v>105</v>
      </c>
      <c r="C20" s="613"/>
      <c r="D20" s="612"/>
      <c r="E20" s="613"/>
      <c r="F20" s="612"/>
      <c r="G20" s="613"/>
      <c r="H20" s="614"/>
      <c r="I20" s="592" t="s">
        <v>156</v>
      </c>
    </row>
    <row r="21" spans="1:9" s="594" customFormat="1" ht="28.5" customHeight="1">
      <c r="A21" s="1416"/>
      <c r="B21" s="595" t="s">
        <v>91</v>
      </c>
      <c r="C21" s="596" t="s">
        <v>92</v>
      </c>
      <c r="D21" s="596" t="s">
        <v>93</v>
      </c>
      <c r="E21" s="596" t="s">
        <v>94</v>
      </c>
      <c r="F21" s="596" t="s">
        <v>95</v>
      </c>
      <c r="G21" s="597" t="s">
        <v>157</v>
      </c>
      <c r="H21" s="598" t="s">
        <v>158</v>
      </c>
      <c r="I21" s="599" t="s">
        <v>159</v>
      </c>
    </row>
    <row r="22" spans="1:9" s="594" customFormat="1" ht="32.25" customHeight="1">
      <c r="A22" s="604" t="s">
        <v>35</v>
      </c>
      <c r="B22" s="601">
        <v>5237</v>
      </c>
      <c r="C22" s="601">
        <v>5740</v>
      </c>
      <c r="D22" s="601">
        <v>5770</v>
      </c>
      <c r="E22" s="601">
        <v>6180</v>
      </c>
      <c r="F22" s="601">
        <v>6429</v>
      </c>
      <c r="G22" s="601">
        <v>3319</v>
      </c>
      <c r="H22" s="602">
        <v>3111</v>
      </c>
      <c r="I22" s="603">
        <f>SUM(B22:H22)</f>
        <v>35786</v>
      </c>
    </row>
    <row r="23" spans="1:9" s="594" customFormat="1" ht="32.25" customHeight="1">
      <c r="A23" s="604" t="s">
        <v>36</v>
      </c>
      <c r="B23" s="615">
        <v>4261</v>
      </c>
      <c r="C23" s="616">
        <v>4675</v>
      </c>
      <c r="D23" s="616">
        <v>4568</v>
      </c>
      <c r="E23" s="616">
        <v>5060</v>
      </c>
      <c r="F23" s="616">
        <v>5445</v>
      </c>
      <c r="G23" s="616">
        <v>2895</v>
      </c>
      <c r="H23" s="617">
        <v>2794</v>
      </c>
      <c r="I23" s="607">
        <f>SUM(B23:H23)</f>
        <v>29698</v>
      </c>
    </row>
    <row r="24" spans="1:9" s="594" customFormat="1" ht="32.25" customHeight="1">
      <c r="A24" s="604" t="s">
        <v>37</v>
      </c>
      <c r="B24" s="605">
        <v>3863</v>
      </c>
      <c r="C24" s="605">
        <v>4055</v>
      </c>
      <c r="D24" s="605">
        <v>4364</v>
      </c>
      <c r="E24" s="605">
        <v>4699</v>
      </c>
      <c r="F24" s="605">
        <v>5267</v>
      </c>
      <c r="G24" s="605">
        <v>2807</v>
      </c>
      <c r="H24" s="606">
        <v>2864</v>
      </c>
      <c r="I24" s="607">
        <f>SUM(B24:H24)</f>
        <v>27919</v>
      </c>
    </row>
    <row r="25" spans="1:9" s="594" customFormat="1" ht="32.25" customHeight="1">
      <c r="A25" s="604" t="s">
        <v>55</v>
      </c>
      <c r="B25" s="615">
        <v>3142</v>
      </c>
      <c r="C25" s="616">
        <v>3146</v>
      </c>
      <c r="D25" s="616">
        <v>3405</v>
      </c>
      <c r="E25" s="616">
        <v>3404</v>
      </c>
      <c r="F25" s="616">
        <v>3541</v>
      </c>
      <c r="G25" s="616">
        <v>1591</v>
      </c>
      <c r="H25" s="617">
        <v>1363</v>
      </c>
      <c r="I25" s="607">
        <f>SUM(B25:H25)</f>
        <v>19592</v>
      </c>
    </row>
    <row r="26" spans="1:9" s="594" customFormat="1" ht="32.25" customHeight="1">
      <c r="A26" s="604" t="s">
        <v>39</v>
      </c>
      <c r="B26" s="605">
        <v>525</v>
      </c>
      <c r="C26" s="605">
        <v>653</v>
      </c>
      <c r="D26" s="605">
        <v>685</v>
      </c>
      <c r="E26" s="605">
        <v>589</v>
      </c>
      <c r="F26" s="605">
        <v>585</v>
      </c>
      <c r="G26" s="605">
        <v>221</v>
      </c>
      <c r="H26" s="606">
        <v>250</v>
      </c>
      <c r="I26" s="607">
        <f>SUM(B26:H26)</f>
        <v>3508</v>
      </c>
    </row>
    <row r="27" spans="1:9" s="594" customFormat="1" ht="32.25" customHeight="1">
      <c r="A27" s="608" t="s">
        <v>80</v>
      </c>
      <c r="B27" s="609">
        <f aca="true" t="shared" si="3" ref="B27:I27">SUM(B22:B26)</f>
        <v>17028</v>
      </c>
      <c r="C27" s="609">
        <f t="shared" si="3"/>
        <v>18269</v>
      </c>
      <c r="D27" s="609">
        <f t="shared" si="3"/>
        <v>18792</v>
      </c>
      <c r="E27" s="609">
        <f t="shared" si="3"/>
        <v>19932</v>
      </c>
      <c r="F27" s="609">
        <f t="shared" si="3"/>
        <v>21267</v>
      </c>
      <c r="G27" s="609">
        <f t="shared" si="3"/>
        <v>10833</v>
      </c>
      <c r="H27" s="610">
        <f t="shared" si="3"/>
        <v>10382</v>
      </c>
      <c r="I27" s="611">
        <f t="shared" si="3"/>
        <v>116503</v>
      </c>
    </row>
  </sheetData>
  <mergeCells count="2">
    <mergeCell ref="A20:A21"/>
    <mergeCell ref="A3:A4"/>
  </mergeCells>
  <printOptions/>
  <pageMargins left="0.7" right="0.27" top="0.7" bottom="0.3" header="0.38" footer="0.25"/>
  <pageSetup horizontalDpi="600" verticalDpi="600" orientation="portrait" paperSize="9" r:id="rId1"/>
  <headerFooter alignWithMargins="0">
    <oddHeader xml:space="preserve">&amp;C&amp;"Times New Roman,Regular" - 21 -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J10" sqref="J10"/>
    </sheetView>
  </sheetViews>
  <sheetFormatPr defaultColWidth="9.140625" defaultRowHeight="12.75"/>
  <cols>
    <col min="1" max="1" width="2.00390625" style="619" customWidth="1"/>
    <col min="2" max="2" width="3.28125" style="619" customWidth="1"/>
    <col min="3" max="3" width="7.7109375" style="619" customWidth="1"/>
    <col min="4" max="6" width="7.7109375" style="619" hidden="1" customWidth="1"/>
    <col min="7" max="15" width="8.57421875" style="619" customWidth="1"/>
    <col min="16" max="16" width="4.421875" style="619" customWidth="1"/>
    <col min="17" max="16384" width="9.140625" style="619" customWidth="1"/>
  </cols>
  <sheetData>
    <row r="1" ht="20.25" customHeight="1">
      <c r="A1" s="618" t="s">
        <v>398</v>
      </c>
    </row>
    <row r="2" ht="11.25" customHeight="1"/>
    <row r="3" spans="1:15" ht="20.25" customHeight="1">
      <c r="A3" s="1420" t="s">
        <v>105</v>
      </c>
      <c r="B3" s="1421"/>
      <c r="C3" s="1422"/>
      <c r="D3" s="620">
        <v>2005</v>
      </c>
      <c r="E3" s="620"/>
      <c r="F3" s="621"/>
      <c r="G3" s="620">
        <v>2006</v>
      </c>
      <c r="H3" s="620"/>
      <c r="I3" s="621"/>
      <c r="J3" s="1426">
        <v>2007</v>
      </c>
      <c r="K3" s="1427"/>
      <c r="L3" s="1428"/>
      <c r="M3" s="1426">
        <v>2008</v>
      </c>
      <c r="N3" s="1427"/>
      <c r="O3" s="1428"/>
    </row>
    <row r="4" spans="1:15" ht="20.25" customHeight="1">
      <c r="A4" s="1423"/>
      <c r="B4" s="1424"/>
      <c r="C4" s="1425"/>
      <c r="D4" s="622" t="s">
        <v>5</v>
      </c>
      <c r="E4" s="623" t="s">
        <v>47</v>
      </c>
      <c r="F4" s="624" t="s">
        <v>48</v>
      </c>
      <c r="G4" s="622" t="s">
        <v>5</v>
      </c>
      <c r="H4" s="623" t="s">
        <v>47</v>
      </c>
      <c r="I4" s="624" t="s">
        <v>48</v>
      </c>
      <c r="J4" s="622" t="s">
        <v>5</v>
      </c>
      <c r="K4" s="623" t="s">
        <v>47</v>
      </c>
      <c r="L4" s="624" t="s">
        <v>48</v>
      </c>
      <c r="M4" s="622" t="s">
        <v>5</v>
      </c>
      <c r="N4" s="623" t="s">
        <v>47</v>
      </c>
      <c r="O4" s="624" t="s">
        <v>48</v>
      </c>
    </row>
    <row r="5" spans="1:15" ht="20.25" customHeight="1">
      <c r="A5" s="1417" t="s">
        <v>54</v>
      </c>
      <c r="B5" s="1418"/>
      <c r="C5" s="1418"/>
      <c r="D5" s="1418"/>
      <c r="E5" s="1418"/>
      <c r="F5" s="1418"/>
      <c r="G5" s="1418"/>
      <c r="H5" s="1418"/>
      <c r="I5" s="1418"/>
      <c r="J5" s="1418"/>
      <c r="K5" s="1418"/>
      <c r="L5" s="1418"/>
      <c r="M5" s="1418"/>
      <c r="N5" s="1418"/>
      <c r="O5" s="1419"/>
    </row>
    <row r="6" spans="1:15" ht="26.25" customHeight="1">
      <c r="A6" s="625" t="s">
        <v>106</v>
      </c>
      <c r="B6" s="626" t="s">
        <v>160</v>
      </c>
      <c r="C6" s="627"/>
      <c r="D6" s="628">
        <v>17986</v>
      </c>
      <c r="E6" s="628">
        <f aca="true" t="shared" si="0" ref="E6:E12">D6-F6</f>
        <v>8686</v>
      </c>
      <c r="F6" s="629">
        <v>9300</v>
      </c>
      <c r="G6" s="628">
        <v>18517</v>
      </c>
      <c r="H6" s="628">
        <f aca="true" t="shared" si="1" ref="H6:H12">G6-I6</f>
        <v>8948</v>
      </c>
      <c r="I6" s="629">
        <v>9569</v>
      </c>
      <c r="J6" s="628">
        <v>18328</v>
      </c>
      <c r="K6" s="628">
        <f aca="true" t="shared" si="2" ref="K6:K12">J6-L6</f>
        <v>8806</v>
      </c>
      <c r="L6" s="629">
        <v>9522</v>
      </c>
      <c r="M6" s="628">
        <v>17028</v>
      </c>
      <c r="N6" s="628">
        <f aca="true" t="shared" si="3" ref="N6:N12">M6-O6</f>
        <v>8169</v>
      </c>
      <c r="O6" s="629">
        <v>8859</v>
      </c>
    </row>
    <row r="7" spans="1:15" ht="26.25" customHeight="1">
      <c r="A7" s="630"/>
      <c r="B7" s="631" t="s">
        <v>161</v>
      </c>
      <c r="C7" s="632"/>
      <c r="D7" s="633">
        <v>18554</v>
      </c>
      <c r="E7" s="633">
        <f t="shared" si="0"/>
        <v>8873</v>
      </c>
      <c r="F7" s="634">
        <v>9681</v>
      </c>
      <c r="G7" s="633">
        <v>18186</v>
      </c>
      <c r="H7" s="633">
        <f t="shared" si="1"/>
        <v>8719</v>
      </c>
      <c r="I7" s="634">
        <v>9467</v>
      </c>
      <c r="J7" s="633">
        <v>18759</v>
      </c>
      <c r="K7" s="633">
        <f t="shared" si="2"/>
        <v>9074</v>
      </c>
      <c r="L7" s="634">
        <v>9685</v>
      </c>
      <c r="M7" s="633">
        <v>18269</v>
      </c>
      <c r="N7" s="633">
        <f t="shared" si="3"/>
        <v>8740</v>
      </c>
      <c r="O7" s="634">
        <v>9529</v>
      </c>
    </row>
    <row r="8" spans="1:15" ht="26.25" customHeight="1">
      <c r="A8" s="630"/>
      <c r="B8" s="631" t="s">
        <v>93</v>
      </c>
      <c r="C8" s="632"/>
      <c r="D8" s="633">
        <v>18993</v>
      </c>
      <c r="E8" s="633">
        <f t="shared" si="0"/>
        <v>9206</v>
      </c>
      <c r="F8" s="634">
        <v>9787</v>
      </c>
      <c r="G8" s="633">
        <v>18802</v>
      </c>
      <c r="H8" s="633">
        <f t="shared" si="1"/>
        <v>8960</v>
      </c>
      <c r="I8" s="634">
        <v>9842</v>
      </c>
      <c r="J8" s="633">
        <v>18372</v>
      </c>
      <c r="K8" s="633">
        <f t="shared" si="2"/>
        <v>8959</v>
      </c>
      <c r="L8" s="634">
        <v>9413</v>
      </c>
      <c r="M8" s="633">
        <v>18792</v>
      </c>
      <c r="N8" s="633">
        <f t="shared" si="3"/>
        <v>9092</v>
      </c>
      <c r="O8" s="634">
        <v>9700</v>
      </c>
    </row>
    <row r="9" spans="1:15" ht="26.25" customHeight="1">
      <c r="A9" s="630"/>
      <c r="B9" s="631" t="s">
        <v>94</v>
      </c>
      <c r="C9" s="632"/>
      <c r="D9" s="633">
        <v>18851</v>
      </c>
      <c r="E9" s="633">
        <f t="shared" si="0"/>
        <v>9089</v>
      </c>
      <c r="F9" s="634">
        <v>9762</v>
      </c>
      <c r="G9" s="633">
        <v>20224</v>
      </c>
      <c r="H9" s="633">
        <f t="shared" si="1"/>
        <v>9915</v>
      </c>
      <c r="I9" s="634">
        <v>10309</v>
      </c>
      <c r="J9" s="633">
        <v>20192</v>
      </c>
      <c r="K9" s="633">
        <f t="shared" si="2"/>
        <v>9655</v>
      </c>
      <c r="L9" s="634">
        <v>10537</v>
      </c>
      <c r="M9" s="633">
        <v>19932</v>
      </c>
      <c r="N9" s="633">
        <f t="shared" si="3"/>
        <v>9794</v>
      </c>
      <c r="O9" s="634">
        <v>10138</v>
      </c>
    </row>
    <row r="10" spans="1:15" ht="26.25" customHeight="1">
      <c r="A10" s="630"/>
      <c r="B10" s="631" t="s">
        <v>162</v>
      </c>
      <c r="C10" s="632"/>
      <c r="D10" s="633">
        <v>18725</v>
      </c>
      <c r="E10" s="633">
        <f t="shared" si="0"/>
        <v>9068</v>
      </c>
      <c r="F10" s="634">
        <v>9657</v>
      </c>
      <c r="G10" s="633">
        <v>19927</v>
      </c>
      <c r="H10" s="633">
        <f t="shared" si="1"/>
        <v>9650</v>
      </c>
      <c r="I10" s="634">
        <v>10277</v>
      </c>
      <c r="J10" s="633">
        <v>20996</v>
      </c>
      <c r="K10" s="633">
        <f t="shared" si="2"/>
        <v>10209</v>
      </c>
      <c r="L10" s="634">
        <v>10787</v>
      </c>
      <c r="M10" s="633">
        <v>21267</v>
      </c>
      <c r="N10" s="633">
        <f t="shared" si="3"/>
        <v>10386</v>
      </c>
      <c r="O10" s="634">
        <v>10881</v>
      </c>
    </row>
    <row r="11" spans="1:15" ht="26.25" customHeight="1">
      <c r="A11" s="630"/>
      <c r="B11" s="631" t="s">
        <v>96</v>
      </c>
      <c r="C11" s="635" t="s">
        <v>163</v>
      </c>
      <c r="D11" s="633">
        <v>8795</v>
      </c>
      <c r="E11" s="633">
        <f t="shared" si="0"/>
        <v>4072</v>
      </c>
      <c r="F11" s="634">
        <v>4723</v>
      </c>
      <c r="G11" s="633">
        <v>9540</v>
      </c>
      <c r="H11" s="633">
        <f t="shared" si="1"/>
        <v>4398</v>
      </c>
      <c r="I11" s="634">
        <v>5142</v>
      </c>
      <c r="J11" s="633">
        <v>10166</v>
      </c>
      <c r="K11" s="633">
        <f t="shared" si="2"/>
        <v>4709</v>
      </c>
      <c r="L11" s="634">
        <v>5457</v>
      </c>
      <c r="M11" s="633">
        <v>10833</v>
      </c>
      <c r="N11" s="633">
        <f t="shared" si="3"/>
        <v>4847</v>
      </c>
      <c r="O11" s="634">
        <v>5986</v>
      </c>
    </row>
    <row r="12" spans="1:15" ht="26.25" customHeight="1">
      <c r="A12" s="636"/>
      <c r="B12" s="631" t="s">
        <v>164</v>
      </c>
      <c r="C12" s="637" t="s">
        <v>165</v>
      </c>
      <c r="D12" s="633">
        <v>8383</v>
      </c>
      <c r="E12" s="633">
        <f t="shared" si="0"/>
        <v>3994</v>
      </c>
      <c r="F12" s="634">
        <v>4389</v>
      </c>
      <c r="G12" s="633">
        <v>9461</v>
      </c>
      <c r="H12" s="633">
        <f t="shared" si="1"/>
        <v>4546</v>
      </c>
      <c r="I12" s="634">
        <v>4915</v>
      </c>
      <c r="J12" s="633">
        <v>9893</v>
      </c>
      <c r="K12" s="633">
        <f t="shared" si="2"/>
        <v>4685</v>
      </c>
      <c r="L12" s="634">
        <v>5208</v>
      </c>
      <c r="M12" s="633">
        <v>10382</v>
      </c>
      <c r="N12" s="633">
        <f t="shared" si="3"/>
        <v>4845</v>
      </c>
      <c r="O12" s="634">
        <v>5537</v>
      </c>
    </row>
    <row r="13" spans="1:15" ht="26.25" customHeight="1">
      <c r="A13" s="638" t="s">
        <v>5</v>
      </c>
      <c r="B13" s="639"/>
      <c r="C13" s="640"/>
      <c r="D13" s="641">
        <f aca="true" t="shared" si="4" ref="D13:O13">SUM(D6:D12)</f>
        <v>110287</v>
      </c>
      <c r="E13" s="642">
        <f t="shared" si="4"/>
        <v>52988</v>
      </c>
      <c r="F13" s="643">
        <f t="shared" si="4"/>
        <v>57299</v>
      </c>
      <c r="G13" s="641">
        <f t="shared" si="4"/>
        <v>114657</v>
      </c>
      <c r="H13" s="642">
        <f t="shared" si="4"/>
        <v>55136</v>
      </c>
      <c r="I13" s="643">
        <f t="shared" si="4"/>
        <v>59521</v>
      </c>
      <c r="J13" s="641">
        <f t="shared" si="4"/>
        <v>116706</v>
      </c>
      <c r="K13" s="642">
        <f t="shared" si="4"/>
        <v>56097</v>
      </c>
      <c r="L13" s="643">
        <f t="shared" si="4"/>
        <v>60609</v>
      </c>
      <c r="M13" s="641">
        <f t="shared" si="4"/>
        <v>116503</v>
      </c>
      <c r="N13" s="642">
        <f t="shared" si="4"/>
        <v>55873</v>
      </c>
      <c r="O13" s="643">
        <f t="shared" si="4"/>
        <v>60630</v>
      </c>
    </row>
    <row r="14" spans="1:15" ht="26.25" customHeight="1">
      <c r="A14" s="1417" t="s">
        <v>52</v>
      </c>
      <c r="B14" s="1418"/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9"/>
    </row>
    <row r="15" spans="1:15" ht="26.25" customHeight="1">
      <c r="A15" s="625" t="s">
        <v>106</v>
      </c>
      <c r="B15" s="626" t="s">
        <v>160</v>
      </c>
      <c r="C15" s="627"/>
      <c r="D15" s="628">
        <v>17415</v>
      </c>
      <c r="E15" s="628">
        <f>D15-F15</f>
        <v>8387</v>
      </c>
      <c r="F15" s="634">
        <v>9028</v>
      </c>
      <c r="G15" s="628">
        <v>17851</v>
      </c>
      <c r="H15" s="628">
        <f>G15-I15</f>
        <v>8632</v>
      </c>
      <c r="I15" s="634">
        <v>9219</v>
      </c>
      <c r="J15" s="628">
        <v>17683</v>
      </c>
      <c r="K15" s="628">
        <f aca="true" t="shared" si="5" ref="K15:K21">J15-L15</f>
        <v>8522</v>
      </c>
      <c r="L15" s="634">
        <v>9161</v>
      </c>
      <c r="M15" s="628">
        <v>16503</v>
      </c>
      <c r="N15" s="628">
        <f aca="true" t="shared" si="6" ref="N15:N21">M15-O15</f>
        <v>7930</v>
      </c>
      <c r="O15" s="634">
        <v>8573</v>
      </c>
    </row>
    <row r="16" spans="1:15" ht="26.25" customHeight="1">
      <c r="A16" s="630"/>
      <c r="B16" s="631" t="s">
        <v>161</v>
      </c>
      <c r="C16" s="632"/>
      <c r="D16" s="633">
        <v>17921</v>
      </c>
      <c r="E16" s="644">
        <f aca="true" t="shared" si="7" ref="E16:E21">D16-F16</f>
        <v>8596</v>
      </c>
      <c r="F16" s="634">
        <v>9325</v>
      </c>
      <c r="G16" s="633">
        <v>17579</v>
      </c>
      <c r="H16" s="644">
        <f aca="true" t="shared" si="8" ref="H16:H21">G16-I16</f>
        <v>8411</v>
      </c>
      <c r="I16" s="634">
        <v>9168</v>
      </c>
      <c r="J16" s="633">
        <v>18061</v>
      </c>
      <c r="K16" s="644">
        <f t="shared" si="5"/>
        <v>8728</v>
      </c>
      <c r="L16" s="634">
        <v>9333</v>
      </c>
      <c r="M16" s="633">
        <v>17616</v>
      </c>
      <c r="N16" s="644">
        <f t="shared" si="6"/>
        <v>8460</v>
      </c>
      <c r="O16" s="634">
        <v>9156</v>
      </c>
    </row>
    <row r="17" spans="1:15" ht="26.25" customHeight="1">
      <c r="A17" s="630"/>
      <c r="B17" s="631" t="s">
        <v>93</v>
      </c>
      <c r="C17" s="632"/>
      <c r="D17" s="633">
        <v>18309</v>
      </c>
      <c r="E17" s="633">
        <f t="shared" si="7"/>
        <v>8889</v>
      </c>
      <c r="F17" s="634">
        <v>9420</v>
      </c>
      <c r="G17" s="633">
        <v>18134</v>
      </c>
      <c r="H17" s="633">
        <f t="shared" si="8"/>
        <v>8667</v>
      </c>
      <c r="I17" s="634">
        <v>9467</v>
      </c>
      <c r="J17" s="633">
        <v>17737</v>
      </c>
      <c r="K17" s="633">
        <f t="shared" si="5"/>
        <v>8652</v>
      </c>
      <c r="L17" s="634">
        <v>9085</v>
      </c>
      <c r="M17" s="633">
        <v>18107</v>
      </c>
      <c r="N17" s="633">
        <f t="shared" si="6"/>
        <v>8740</v>
      </c>
      <c r="O17" s="634">
        <v>9367</v>
      </c>
    </row>
    <row r="18" spans="1:15" ht="26.25" customHeight="1">
      <c r="A18" s="630"/>
      <c r="B18" s="631" t="s">
        <v>94</v>
      </c>
      <c r="C18" s="632"/>
      <c r="D18" s="633">
        <v>18239</v>
      </c>
      <c r="E18" s="644">
        <f t="shared" si="7"/>
        <v>8807</v>
      </c>
      <c r="F18" s="634">
        <v>9432</v>
      </c>
      <c r="G18" s="633">
        <v>19576</v>
      </c>
      <c r="H18" s="644">
        <f t="shared" si="8"/>
        <v>9614</v>
      </c>
      <c r="I18" s="634">
        <v>9962</v>
      </c>
      <c r="J18" s="633">
        <v>19532</v>
      </c>
      <c r="K18" s="644">
        <f t="shared" si="5"/>
        <v>9369</v>
      </c>
      <c r="L18" s="634">
        <v>10163</v>
      </c>
      <c r="M18" s="633">
        <v>19343</v>
      </c>
      <c r="N18" s="644">
        <f t="shared" si="6"/>
        <v>9528</v>
      </c>
      <c r="O18" s="634">
        <v>9815</v>
      </c>
    </row>
    <row r="19" spans="1:15" ht="26.25" customHeight="1">
      <c r="A19" s="630"/>
      <c r="B19" s="631" t="s">
        <v>162</v>
      </c>
      <c r="C19" s="632"/>
      <c r="D19" s="633">
        <v>18091</v>
      </c>
      <c r="E19" s="633">
        <f t="shared" si="7"/>
        <v>8773</v>
      </c>
      <c r="F19" s="634">
        <v>9318</v>
      </c>
      <c r="G19" s="633">
        <v>19270</v>
      </c>
      <c r="H19" s="633">
        <f t="shared" si="8"/>
        <v>9352</v>
      </c>
      <c r="I19" s="634">
        <v>9918</v>
      </c>
      <c r="J19" s="633">
        <v>20344</v>
      </c>
      <c r="K19" s="633">
        <f t="shared" si="5"/>
        <v>9913</v>
      </c>
      <c r="L19" s="634">
        <v>10431</v>
      </c>
      <c r="M19" s="633">
        <v>20682</v>
      </c>
      <c r="N19" s="633">
        <f t="shared" si="6"/>
        <v>10127</v>
      </c>
      <c r="O19" s="634">
        <v>10555</v>
      </c>
    </row>
    <row r="20" spans="1:15" ht="26.25" customHeight="1">
      <c r="A20" s="630"/>
      <c r="B20" s="631" t="s">
        <v>96</v>
      </c>
      <c r="C20" s="635" t="s">
        <v>163</v>
      </c>
      <c r="D20" s="633">
        <v>8623</v>
      </c>
      <c r="E20" s="644">
        <f t="shared" si="7"/>
        <v>3998</v>
      </c>
      <c r="F20" s="634">
        <v>4625</v>
      </c>
      <c r="G20" s="633">
        <v>9347</v>
      </c>
      <c r="H20" s="644">
        <f t="shared" si="8"/>
        <v>4309</v>
      </c>
      <c r="I20" s="634">
        <v>5038</v>
      </c>
      <c r="J20" s="633">
        <v>9960</v>
      </c>
      <c r="K20" s="644">
        <f t="shared" si="5"/>
        <v>4615</v>
      </c>
      <c r="L20" s="634">
        <v>5345</v>
      </c>
      <c r="M20" s="633">
        <v>10612</v>
      </c>
      <c r="N20" s="644">
        <f t="shared" si="6"/>
        <v>4751</v>
      </c>
      <c r="O20" s="634">
        <v>5861</v>
      </c>
    </row>
    <row r="21" spans="1:15" ht="26.25" customHeight="1">
      <c r="A21" s="636"/>
      <c r="B21" s="631" t="s">
        <v>164</v>
      </c>
      <c r="C21" s="637" t="s">
        <v>165</v>
      </c>
      <c r="D21" s="633">
        <v>8207</v>
      </c>
      <c r="E21" s="633">
        <f t="shared" si="7"/>
        <v>3913</v>
      </c>
      <c r="F21" s="634">
        <v>4294</v>
      </c>
      <c r="G21" s="633">
        <v>9270</v>
      </c>
      <c r="H21" s="633">
        <f t="shared" si="8"/>
        <v>4466</v>
      </c>
      <c r="I21" s="634">
        <v>4804</v>
      </c>
      <c r="J21" s="633">
        <v>9664</v>
      </c>
      <c r="K21" s="633">
        <f t="shared" si="5"/>
        <v>4585</v>
      </c>
      <c r="L21" s="634">
        <v>5079</v>
      </c>
      <c r="M21" s="633">
        <v>10132</v>
      </c>
      <c r="N21" s="633">
        <f t="shared" si="6"/>
        <v>4729</v>
      </c>
      <c r="O21" s="634">
        <v>5403</v>
      </c>
    </row>
    <row r="22" spans="1:15" ht="26.25" customHeight="1">
      <c r="A22" s="638" t="s">
        <v>5</v>
      </c>
      <c r="B22" s="645"/>
      <c r="C22" s="640"/>
      <c r="D22" s="646">
        <f aca="true" t="shared" si="9" ref="D22:O22">SUM(D15:D21)</f>
        <v>106805</v>
      </c>
      <c r="E22" s="642">
        <f t="shared" si="9"/>
        <v>51363</v>
      </c>
      <c r="F22" s="643">
        <f t="shared" si="9"/>
        <v>55442</v>
      </c>
      <c r="G22" s="641">
        <f t="shared" si="9"/>
        <v>111027</v>
      </c>
      <c r="H22" s="641">
        <f t="shared" si="9"/>
        <v>53451</v>
      </c>
      <c r="I22" s="647">
        <f t="shared" si="9"/>
        <v>57576</v>
      </c>
      <c r="J22" s="641">
        <f t="shared" si="9"/>
        <v>112981</v>
      </c>
      <c r="K22" s="641">
        <f t="shared" si="9"/>
        <v>54384</v>
      </c>
      <c r="L22" s="647">
        <f t="shared" si="9"/>
        <v>58597</v>
      </c>
      <c r="M22" s="641">
        <f t="shared" si="9"/>
        <v>112995</v>
      </c>
      <c r="N22" s="641">
        <f t="shared" si="9"/>
        <v>54265</v>
      </c>
      <c r="O22" s="647">
        <f t="shared" si="9"/>
        <v>58730</v>
      </c>
    </row>
    <row r="23" spans="1:15" ht="26.25" customHeight="1">
      <c r="A23" s="1417" t="s">
        <v>53</v>
      </c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9"/>
    </row>
    <row r="24" spans="1:15" ht="26.25" customHeight="1">
      <c r="A24" s="625" t="s">
        <v>106</v>
      </c>
      <c r="B24" s="626" t="s">
        <v>160</v>
      </c>
      <c r="C24" s="627"/>
      <c r="D24" s="648">
        <f aca="true" t="shared" si="10" ref="D24:G30">D6-D15</f>
        <v>571</v>
      </c>
      <c r="E24" s="649">
        <f t="shared" si="10"/>
        <v>299</v>
      </c>
      <c r="F24" s="650">
        <f t="shared" si="10"/>
        <v>272</v>
      </c>
      <c r="G24" s="628">
        <f t="shared" si="10"/>
        <v>666</v>
      </c>
      <c r="H24" s="633">
        <f aca="true" t="shared" si="11" ref="H24:H30">G24-I24</f>
        <v>316</v>
      </c>
      <c r="I24" s="629">
        <f aca="true" t="shared" si="12" ref="I24:J30">I6-I15</f>
        <v>350</v>
      </c>
      <c r="J24" s="628">
        <f t="shared" si="12"/>
        <v>645</v>
      </c>
      <c r="K24" s="633">
        <f aca="true" t="shared" si="13" ref="K24:K30">J24-L24</f>
        <v>284</v>
      </c>
      <c r="L24" s="629">
        <f aca="true" t="shared" si="14" ref="L24:L30">L6-L15</f>
        <v>361</v>
      </c>
      <c r="M24" s="628">
        <f aca="true" t="shared" si="15" ref="M24:M30">M6-M15</f>
        <v>525</v>
      </c>
      <c r="N24" s="633">
        <f aca="true" t="shared" si="16" ref="N24:N30">M24-O24</f>
        <v>239</v>
      </c>
      <c r="O24" s="629">
        <f aca="true" t="shared" si="17" ref="O24:O30">O6-O15</f>
        <v>286</v>
      </c>
    </row>
    <row r="25" spans="1:15" ht="26.25" customHeight="1">
      <c r="A25" s="630"/>
      <c r="B25" s="631" t="s">
        <v>161</v>
      </c>
      <c r="C25" s="632"/>
      <c r="D25" s="651">
        <f t="shared" si="10"/>
        <v>633</v>
      </c>
      <c r="E25" s="644">
        <f t="shared" si="10"/>
        <v>277</v>
      </c>
      <c r="F25" s="652">
        <f t="shared" si="10"/>
        <v>356</v>
      </c>
      <c r="G25" s="633">
        <f t="shared" si="10"/>
        <v>607</v>
      </c>
      <c r="H25" s="633">
        <f t="shared" si="11"/>
        <v>308</v>
      </c>
      <c r="I25" s="634">
        <f t="shared" si="12"/>
        <v>299</v>
      </c>
      <c r="J25" s="633">
        <f t="shared" si="12"/>
        <v>698</v>
      </c>
      <c r="K25" s="633">
        <f t="shared" si="13"/>
        <v>346</v>
      </c>
      <c r="L25" s="634">
        <f t="shared" si="14"/>
        <v>352</v>
      </c>
      <c r="M25" s="633">
        <f t="shared" si="15"/>
        <v>653</v>
      </c>
      <c r="N25" s="633">
        <f t="shared" si="16"/>
        <v>280</v>
      </c>
      <c r="O25" s="634">
        <f t="shared" si="17"/>
        <v>373</v>
      </c>
    </row>
    <row r="26" spans="1:15" ht="26.25" customHeight="1">
      <c r="A26" s="630"/>
      <c r="B26" s="631" t="s">
        <v>93</v>
      </c>
      <c r="C26" s="632"/>
      <c r="D26" s="651">
        <f t="shared" si="10"/>
        <v>684</v>
      </c>
      <c r="E26" s="644">
        <f t="shared" si="10"/>
        <v>317</v>
      </c>
      <c r="F26" s="652">
        <f t="shared" si="10"/>
        <v>367</v>
      </c>
      <c r="G26" s="633">
        <f t="shared" si="10"/>
        <v>668</v>
      </c>
      <c r="H26" s="633">
        <f t="shared" si="11"/>
        <v>293</v>
      </c>
      <c r="I26" s="634">
        <f t="shared" si="12"/>
        <v>375</v>
      </c>
      <c r="J26" s="633">
        <f t="shared" si="12"/>
        <v>635</v>
      </c>
      <c r="K26" s="633">
        <f t="shared" si="13"/>
        <v>307</v>
      </c>
      <c r="L26" s="634">
        <f t="shared" si="14"/>
        <v>328</v>
      </c>
      <c r="M26" s="633">
        <f t="shared" si="15"/>
        <v>685</v>
      </c>
      <c r="N26" s="633">
        <f t="shared" si="16"/>
        <v>352</v>
      </c>
      <c r="O26" s="634">
        <f t="shared" si="17"/>
        <v>333</v>
      </c>
    </row>
    <row r="27" spans="1:15" ht="26.25" customHeight="1">
      <c r="A27" s="630"/>
      <c r="B27" s="631" t="s">
        <v>94</v>
      </c>
      <c r="C27" s="632"/>
      <c r="D27" s="651">
        <f t="shared" si="10"/>
        <v>612</v>
      </c>
      <c r="E27" s="644">
        <f t="shared" si="10"/>
        <v>282</v>
      </c>
      <c r="F27" s="652">
        <f t="shared" si="10"/>
        <v>330</v>
      </c>
      <c r="G27" s="633">
        <f t="shared" si="10"/>
        <v>648</v>
      </c>
      <c r="H27" s="633">
        <f t="shared" si="11"/>
        <v>301</v>
      </c>
      <c r="I27" s="634">
        <f t="shared" si="12"/>
        <v>347</v>
      </c>
      <c r="J27" s="633">
        <f t="shared" si="12"/>
        <v>660</v>
      </c>
      <c r="K27" s="633">
        <f t="shared" si="13"/>
        <v>286</v>
      </c>
      <c r="L27" s="634">
        <f t="shared" si="14"/>
        <v>374</v>
      </c>
      <c r="M27" s="633">
        <f t="shared" si="15"/>
        <v>589</v>
      </c>
      <c r="N27" s="633">
        <f t="shared" si="16"/>
        <v>266</v>
      </c>
      <c r="O27" s="634">
        <f t="shared" si="17"/>
        <v>323</v>
      </c>
    </row>
    <row r="28" spans="1:15" ht="26.25" customHeight="1">
      <c r="A28" s="630"/>
      <c r="B28" s="631" t="s">
        <v>162</v>
      </c>
      <c r="C28" s="632"/>
      <c r="D28" s="651">
        <f t="shared" si="10"/>
        <v>634</v>
      </c>
      <c r="E28" s="644">
        <f t="shared" si="10"/>
        <v>295</v>
      </c>
      <c r="F28" s="652">
        <f t="shared" si="10"/>
        <v>339</v>
      </c>
      <c r="G28" s="633">
        <f t="shared" si="10"/>
        <v>657</v>
      </c>
      <c r="H28" s="633">
        <f t="shared" si="11"/>
        <v>298</v>
      </c>
      <c r="I28" s="634">
        <f t="shared" si="12"/>
        <v>359</v>
      </c>
      <c r="J28" s="633">
        <f t="shared" si="12"/>
        <v>652</v>
      </c>
      <c r="K28" s="633">
        <f t="shared" si="13"/>
        <v>296</v>
      </c>
      <c r="L28" s="634">
        <f t="shared" si="14"/>
        <v>356</v>
      </c>
      <c r="M28" s="633">
        <f t="shared" si="15"/>
        <v>585</v>
      </c>
      <c r="N28" s="633">
        <f t="shared" si="16"/>
        <v>259</v>
      </c>
      <c r="O28" s="634">
        <f t="shared" si="17"/>
        <v>326</v>
      </c>
    </row>
    <row r="29" spans="1:15" ht="26.25" customHeight="1">
      <c r="A29" s="630"/>
      <c r="B29" s="631" t="s">
        <v>96</v>
      </c>
      <c r="C29" s="635" t="s">
        <v>163</v>
      </c>
      <c r="D29" s="651">
        <f t="shared" si="10"/>
        <v>172</v>
      </c>
      <c r="E29" s="644">
        <f t="shared" si="10"/>
        <v>74</v>
      </c>
      <c r="F29" s="652">
        <f t="shared" si="10"/>
        <v>98</v>
      </c>
      <c r="G29" s="633">
        <f t="shared" si="10"/>
        <v>193</v>
      </c>
      <c r="H29" s="633">
        <f t="shared" si="11"/>
        <v>89</v>
      </c>
      <c r="I29" s="634">
        <f t="shared" si="12"/>
        <v>104</v>
      </c>
      <c r="J29" s="633">
        <f t="shared" si="12"/>
        <v>206</v>
      </c>
      <c r="K29" s="633">
        <f t="shared" si="13"/>
        <v>94</v>
      </c>
      <c r="L29" s="634">
        <f t="shared" si="14"/>
        <v>112</v>
      </c>
      <c r="M29" s="633">
        <f t="shared" si="15"/>
        <v>221</v>
      </c>
      <c r="N29" s="633">
        <f t="shared" si="16"/>
        <v>96</v>
      </c>
      <c r="O29" s="634">
        <f t="shared" si="17"/>
        <v>125</v>
      </c>
    </row>
    <row r="30" spans="1:15" ht="26.25" customHeight="1">
      <c r="A30" s="636"/>
      <c r="B30" s="631" t="s">
        <v>164</v>
      </c>
      <c r="C30" s="635" t="s">
        <v>165</v>
      </c>
      <c r="D30" s="651">
        <f t="shared" si="10"/>
        <v>176</v>
      </c>
      <c r="E30" s="644">
        <f t="shared" si="10"/>
        <v>81</v>
      </c>
      <c r="F30" s="652">
        <f t="shared" si="10"/>
        <v>95</v>
      </c>
      <c r="G30" s="633">
        <f t="shared" si="10"/>
        <v>191</v>
      </c>
      <c r="H30" s="633">
        <f t="shared" si="11"/>
        <v>80</v>
      </c>
      <c r="I30" s="634">
        <f t="shared" si="12"/>
        <v>111</v>
      </c>
      <c r="J30" s="633">
        <f t="shared" si="12"/>
        <v>229</v>
      </c>
      <c r="K30" s="633">
        <f t="shared" si="13"/>
        <v>100</v>
      </c>
      <c r="L30" s="634">
        <f t="shared" si="14"/>
        <v>129</v>
      </c>
      <c r="M30" s="633">
        <f t="shared" si="15"/>
        <v>250</v>
      </c>
      <c r="N30" s="633">
        <f t="shared" si="16"/>
        <v>116</v>
      </c>
      <c r="O30" s="634">
        <f t="shared" si="17"/>
        <v>134</v>
      </c>
    </row>
    <row r="31" spans="1:15" ht="26.25" customHeight="1">
      <c r="A31" s="639" t="s">
        <v>5</v>
      </c>
      <c r="B31" s="653"/>
      <c r="C31" s="640"/>
      <c r="D31" s="646">
        <f>D13-D22</f>
        <v>3482</v>
      </c>
      <c r="E31" s="642">
        <f>E13-E22</f>
        <v>1625</v>
      </c>
      <c r="F31" s="643">
        <f>F13-F22</f>
        <v>1857</v>
      </c>
      <c r="G31" s="641">
        <f aca="true" t="shared" si="18" ref="G31:O31">SUM(G24:G30)</f>
        <v>3630</v>
      </c>
      <c r="H31" s="641">
        <f t="shared" si="18"/>
        <v>1685</v>
      </c>
      <c r="I31" s="647">
        <f t="shared" si="18"/>
        <v>1945</v>
      </c>
      <c r="J31" s="641">
        <f t="shared" si="18"/>
        <v>3725</v>
      </c>
      <c r="K31" s="641">
        <f t="shared" si="18"/>
        <v>1713</v>
      </c>
      <c r="L31" s="647">
        <f t="shared" si="18"/>
        <v>2012</v>
      </c>
      <c r="M31" s="641">
        <f t="shared" si="18"/>
        <v>3508</v>
      </c>
      <c r="N31" s="641">
        <f t="shared" si="18"/>
        <v>1608</v>
      </c>
      <c r="O31" s="647">
        <f t="shared" si="18"/>
        <v>1900</v>
      </c>
    </row>
    <row r="32" spans="1:15" ht="12.75">
      <c r="A32" s="654"/>
      <c r="B32" s="654"/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</row>
    <row r="33" spans="1:15" ht="12.75">
      <c r="A33" s="654"/>
      <c r="B33" s="655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</row>
    <row r="34" spans="1:15" ht="12.75">
      <c r="A34" s="654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</row>
  </sheetData>
  <mergeCells count="6">
    <mergeCell ref="A23:O23"/>
    <mergeCell ref="A3:C4"/>
    <mergeCell ref="A5:O5"/>
    <mergeCell ref="A14:O14"/>
    <mergeCell ref="M3:O3"/>
    <mergeCell ref="J3:L3"/>
  </mergeCells>
  <printOptions/>
  <pageMargins left="0.75" right="0.32" top="0.75" bottom="0.24" header="0.5" footer="0.17"/>
  <pageSetup horizontalDpi="300" verticalDpi="300" orientation="portrait" paperSize="9" r:id="rId1"/>
  <headerFooter alignWithMargins="0">
    <oddHeader>&amp;C&amp;"Times New Roman,Regular"- 22 -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:O6"/>
    </sheetView>
  </sheetViews>
  <sheetFormatPr defaultColWidth="9.140625" defaultRowHeight="12.75"/>
  <cols>
    <col min="1" max="1" width="2.7109375" style="657" customWidth="1"/>
    <col min="2" max="2" width="3.8515625" style="657" customWidth="1"/>
    <col min="3" max="3" width="7.140625" style="657" customWidth="1"/>
    <col min="4" max="6" width="7.140625" style="657" hidden="1" customWidth="1"/>
    <col min="7" max="11" width="8.57421875" style="657" customWidth="1"/>
    <col min="12" max="12" width="9.140625" style="657" customWidth="1"/>
    <col min="13" max="14" width="8.57421875" style="657" customWidth="1"/>
    <col min="15" max="16384" width="9.140625" style="657" customWidth="1"/>
  </cols>
  <sheetData>
    <row r="1" ht="18.75" customHeight="1">
      <c r="A1" s="656" t="s">
        <v>397</v>
      </c>
    </row>
    <row r="2" ht="20.25" customHeight="1">
      <c r="A2" s="658" t="s">
        <v>297</v>
      </c>
    </row>
    <row r="3" ht="9.75" customHeight="1"/>
    <row r="4" spans="1:15" ht="21" customHeight="1">
      <c r="A4" s="1429" t="s">
        <v>105</v>
      </c>
      <c r="B4" s="1430"/>
      <c r="C4" s="1431"/>
      <c r="D4" s="659">
        <v>2005</v>
      </c>
      <c r="E4" s="659"/>
      <c r="F4" s="660"/>
      <c r="G4" s="1438">
        <v>2006</v>
      </c>
      <c r="H4" s="1439"/>
      <c r="I4" s="1440"/>
      <c r="J4" s="1438">
        <v>2007</v>
      </c>
      <c r="K4" s="1439"/>
      <c r="L4" s="1440"/>
      <c r="M4" s="1438">
        <v>2008</v>
      </c>
      <c r="N4" s="1439"/>
      <c r="O4" s="1440"/>
    </row>
    <row r="5" spans="1:15" ht="21" customHeight="1">
      <c r="A5" s="1432"/>
      <c r="B5" s="1433"/>
      <c r="C5" s="1434"/>
      <c r="D5" s="661" t="s">
        <v>5</v>
      </c>
      <c r="E5" s="662" t="s">
        <v>47</v>
      </c>
      <c r="F5" s="663" t="s">
        <v>48</v>
      </c>
      <c r="G5" s="661" t="s">
        <v>5</v>
      </c>
      <c r="H5" s="662" t="s">
        <v>47</v>
      </c>
      <c r="I5" s="663" t="s">
        <v>48</v>
      </c>
      <c r="J5" s="661" t="s">
        <v>5</v>
      </c>
      <c r="K5" s="662" t="s">
        <v>47</v>
      </c>
      <c r="L5" s="663" t="s">
        <v>48</v>
      </c>
      <c r="M5" s="661" t="s">
        <v>5</v>
      </c>
      <c r="N5" s="662" t="s">
        <v>47</v>
      </c>
      <c r="O5" s="663" t="s">
        <v>48</v>
      </c>
    </row>
    <row r="6" spans="1:15" ht="25.5" customHeight="1">
      <c r="A6" s="1435" t="s">
        <v>166</v>
      </c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436"/>
      <c r="M6" s="1436"/>
      <c r="N6" s="1436"/>
      <c r="O6" s="1437"/>
    </row>
    <row r="7" spans="1:15" ht="25.5" customHeight="1">
      <c r="A7" s="664" t="s">
        <v>106</v>
      </c>
      <c r="B7" s="665" t="s">
        <v>160</v>
      </c>
      <c r="C7" s="666"/>
      <c r="D7" s="667">
        <f aca="true" t="shared" si="0" ref="D7:D14">SUM(E7:F7)</f>
        <v>17986</v>
      </c>
      <c r="E7" s="668">
        <v>8686</v>
      </c>
      <c r="F7" s="669">
        <v>9300</v>
      </c>
      <c r="G7" s="667">
        <f aca="true" t="shared" si="1" ref="G7:G12">SUM(H7:I7)</f>
        <v>18517</v>
      </c>
      <c r="H7" s="668">
        <v>8948</v>
      </c>
      <c r="I7" s="670">
        <v>9569</v>
      </c>
      <c r="J7" s="667">
        <f aca="true" t="shared" si="2" ref="J7:J12">SUM(K7:L7)</f>
        <v>18328</v>
      </c>
      <c r="K7" s="668">
        <v>8806</v>
      </c>
      <c r="L7" s="670">
        <v>9522</v>
      </c>
      <c r="M7" s="667">
        <f aca="true" t="shared" si="3" ref="M7:M12">SUM(N7:O7)</f>
        <v>17028</v>
      </c>
      <c r="N7" s="668">
        <v>8169</v>
      </c>
      <c r="O7" s="670">
        <v>8859</v>
      </c>
    </row>
    <row r="8" spans="1:15" ht="25.5" customHeight="1">
      <c r="A8" s="671"/>
      <c r="B8" s="672" t="s">
        <v>167</v>
      </c>
      <c r="C8" s="673"/>
      <c r="D8" s="667">
        <f t="shared" si="0"/>
        <v>18554</v>
      </c>
      <c r="E8" s="674">
        <v>8873</v>
      </c>
      <c r="F8" s="675">
        <v>9681</v>
      </c>
      <c r="G8" s="667">
        <f t="shared" si="1"/>
        <v>18186</v>
      </c>
      <c r="H8" s="674">
        <v>8719</v>
      </c>
      <c r="I8" s="676">
        <v>9467</v>
      </c>
      <c r="J8" s="667">
        <f t="shared" si="2"/>
        <v>18759</v>
      </c>
      <c r="K8" s="674">
        <v>9074</v>
      </c>
      <c r="L8" s="676">
        <v>9685</v>
      </c>
      <c r="M8" s="667">
        <f t="shared" si="3"/>
        <v>18269</v>
      </c>
      <c r="N8" s="674">
        <v>8740</v>
      </c>
      <c r="O8" s="676">
        <v>9529</v>
      </c>
    </row>
    <row r="9" spans="1:15" ht="25.5" customHeight="1">
      <c r="A9" s="671"/>
      <c r="B9" s="672" t="s">
        <v>168</v>
      </c>
      <c r="C9" s="673"/>
      <c r="D9" s="667">
        <f t="shared" si="0"/>
        <v>18993</v>
      </c>
      <c r="E9" s="667">
        <v>9206</v>
      </c>
      <c r="F9" s="675">
        <v>9787</v>
      </c>
      <c r="G9" s="667">
        <f t="shared" si="1"/>
        <v>18802</v>
      </c>
      <c r="H9" s="667">
        <v>8960</v>
      </c>
      <c r="I9" s="676">
        <v>9842</v>
      </c>
      <c r="J9" s="667">
        <f t="shared" si="2"/>
        <v>18372</v>
      </c>
      <c r="K9" s="667">
        <v>8959</v>
      </c>
      <c r="L9" s="676">
        <v>9413</v>
      </c>
      <c r="M9" s="667">
        <f t="shared" si="3"/>
        <v>18792</v>
      </c>
      <c r="N9" s="667">
        <v>9092</v>
      </c>
      <c r="O9" s="676">
        <v>9700</v>
      </c>
    </row>
    <row r="10" spans="1:15" ht="25.5" customHeight="1">
      <c r="A10" s="671"/>
      <c r="B10" s="672" t="s">
        <v>169</v>
      </c>
      <c r="C10" s="673"/>
      <c r="D10" s="667">
        <f t="shared" si="0"/>
        <v>18851</v>
      </c>
      <c r="E10" s="667">
        <v>9089</v>
      </c>
      <c r="F10" s="675">
        <v>9762</v>
      </c>
      <c r="G10" s="667">
        <f t="shared" si="1"/>
        <v>20224</v>
      </c>
      <c r="H10" s="667">
        <v>9915</v>
      </c>
      <c r="I10" s="676">
        <v>10309</v>
      </c>
      <c r="J10" s="667">
        <f t="shared" si="2"/>
        <v>20192</v>
      </c>
      <c r="K10" s="667">
        <v>9655</v>
      </c>
      <c r="L10" s="676">
        <v>10537</v>
      </c>
      <c r="M10" s="667">
        <f t="shared" si="3"/>
        <v>19932</v>
      </c>
      <c r="N10" s="667">
        <v>9794</v>
      </c>
      <c r="O10" s="676">
        <v>10138</v>
      </c>
    </row>
    <row r="11" spans="1:15" ht="25.5" customHeight="1">
      <c r="A11" s="671"/>
      <c r="B11" s="672" t="s">
        <v>170</v>
      </c>
      <c r="C11" s="673"/>
      <c r="D11" s="667">
        <f t="shared" si="0"/>
        <v>18725</v>
      </c>
      <c r="E11" s="667">
        <v>9068</v>
      </c>
      <c r="F11" s="675">
        <v>9657</v>
      </c>
      <c r="G11" s="667">
        <f t="shared" si="1"/>
        <v>19927</v>
      </c>
      <c r="H11" s="667">
        <v>9650</v>
      </c>
      <c r="I11" s="676">
        <v>10277</v>
      </c>
      <c r="J11" s="667">
        <f t="shared" si="2"/>
        <v>20996</v>
      </c>
      <c r="K11" s="667">
        <v>10209</v>
      </c>
      <c r="L11" s="676">
        <v>10787</v>
      </c>
      <c r="M11" s="667">
        <f t="shared" si="3"/>
        <v>21267</v>
      </c>
      <c r="N11" s="667">
        <v>10386</v>
      </c>
      <c r="O11" s="676">
        <v>10881</v>
      </c>
    </row>
    <row r="12" spans="1:15" ht="25.5" customHeight="1">
      <c r="A12" s="671"/>
      <c r="B12" s="672" t="s">
        <v>171</v>
      </c>
      <c r="C12" s="677" t="s">
        <v>163</v>
      </c>
      <c r="D12" s="667">
        <f t="shared" si="0"/>
        <v>8795</v>
      </c>
      <c r="E12" s="667">
        <v>4072</v>
      </c>
      <c r="F12" s="675">
        <v>4723</v>
      </c>
      <c r="G12" s="667">
        <f t="shared" si="1"/>
        <v>9540</v>
      </c>
      <c r="H12" s="667">
        <v>4398</v>
      </c>
      <c r="I12" s="676">
        <v>5142</v>
      </c>
      <c r="J12" s="667">
        <f t="shared" si="2"/>
        <v>10166</v>
      </c>
      <c r="K12" s="667">
        <v>4709</v>
      </c>
      <c r="L12" s="676">
        <v>5457</v>
      </c>
      <c r="M12" s="667">
        <f t="shared" si="3"/>
        <v>10833</v>
      </c>
      <c r="N12" s="667">
        <v>4847</v>
      </c>
      <c r="O12" s="676">
        <v>5986</v>
      </c>
    </row>
    <row r="13" spans="1:15" ht="25.5" customHeight="1">
      <c r="A13" s="671"/>
      <c r="B13" s="672" t="s">
        <v>171</v>
      </c>
      <c r="C13" s="677" t="s">
        <v>165</v>
      </c>
      <c r="D13" s="667">
        <f t="shared" si="0"/>
        <v>8383</v>
      </c>
      <c r="E13" s="667">
        <v>3994</v>
      </c>
      <c r="F13" s="675">
        <v>4389</v>
      </c>
      <c r="G13" s="667">
        <f>SUM(H13:I13)</f>
        <v>9461</v>
      </c>
      <c r="H13" s="667">
        <v>4546</v>
      </c>
      <c r="I13" s="676">
        <v>4915</v>
      </c>
      <c r="J13" s="667">
        <f>SUM(K13:L13)</f>
        <v>9893</v>
      </c>
      <c r="K13" s="667">
        <v>4685</v>
      </c>
      <c r="L13" s="676">
        <v>5208</v>
      </c>
      <c r="M13" s="667">
        <f>SUM(N13:O13)</f>
        <v>10382</v>
      </c>
      <c r="N13" s="667">
        <v>4845</v>
      </c>
      <c r="O13" s="676">
        <v>5537</v>
      </c>
    </row>
    <row r="14" spans="1:15" ht="25.5" customHeight="1">
      <c r="A14" s="678"/>
      <c r="B14" s="679" t="s">
        <v>172</v>
      </c>
      <c r="C14" s="680"/>
      <c r="D14" s="681">
        <f t="shared" si="0"/>
        <v>110287</v>
      </c>
      <c r="E14" s="681">
        <f>SUM(E7:E13)</f>
        <v>52988</v>
      </c>
      <c r="F14" s="682">
        <f>SUM(F7:F13)</f>
        <v>57299</v>
      </c>
      <c r="G14" s="681">
        <f>SUM(H14:I14)</f>
        <v>114657</v>
      </c>
      <c r="H14" s="681">
        <f>SUM(H7:H13)</f>
        <v>55136</v>
      </c>
      <c r="I14" s="683">
        <f>SUM(I7:I13)</f>
        <v>59521</v>
      </c>
      <c r="J14" s="681">
        <f>SUM(K14:L14)</f>
        <v>116706</v>
      </c>
      <c r="K14" s="681">
        <f>SUM(K7:K13)</f>
        <v>56097</v>
      </c>
      <c r="L14" s="683">
        <f>SUM(L7:L13)</f>
        <v>60609</v>
      </c>
      <c r="M14" s="681">
        <f>SUM(N14:O14)</f>
        <v>116503</v>
      </c>
      <c r="N14" s="681">
        <f>SUM(N7:N13)</f>
        <v>55873</v>
      </c>
      <c r="O14" s="683">
        <f>SUM(O7:O13)</f>
        <v>60630</v>
      </c>
    </row>
    <row r="15" spans="1:15" ht="25.5" customHeight="1">
      <c r="A15" s="1435" t="s">
        <v>173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7"/>
    </row>
    <row r="16" spans="1:15" ht="25.5" customHeight="1">
      <c r="A16" s="664" t="s">
        <v>106</v>
      </c>
      <c r="B16" s="665" t="s">
        <v>160</v>
      </c>
      <c r="C16" s="666"/>
      <c r="D16" s="684">
        <f>SUM(E16:F16)</f>
        <v>7159</v>
      </c>
      <c r="E16" s="668">
        <v>3550</v>
      </c>
      <c r="F16" s="669">
        <v>3609</v>
      </c>
      <c r="G16" s="684">
        <f>SUM(H16:I16)</f>
        <v>7410</v>
      </c>
      <c r="H16" s="668">
        <v>3675</v>
      </c>
      <c r="I16" s="669">
        <v>3735</v>
      </c>
      <c r="J16" s="684">
        <f>SUM(K16:L16)</f>
        <v>7487</v>
      </c>
      <c r="K16" s="668">
        <v>3581</v>
      </c>
      <c r="L16" s="669">
        <v>3906</v>
      </c>
      <c r="M16" s="684">
        <f>SUM(N16:O16)</f>
        <v>7221</v>
      </c>
      <c r="N16" s="668">
        <v>3587</v>
      </c>
      <c r="O16" s="669">
        <v>3634</v>
      </c>
    </row>
    <row r="17" spans="1:15" ht="25.5" customHeight="1">
      <c r="A17" s="671"/>
      <c r="B17" s="672" t="s">
        <v>167</v>
      </c>
      <c r="C17" s="673"/>
      <c r="D17" s="685">
        <f aca="true" t="shared" si="4" ref="D17:D22">SUM(E17:F17)</f>
        <v>7382</v>
      </c>
      <c r="E17" s="667">
        <v>3587</v>
      </c>
      <c r="F17" s="675">
        <v>3795</v>
      </c>
      <c r="G17" s="685">
        <f aca="true" t="shared" si="5" ref="G17:G23">SUM(H17:I17)</f>
        <v>7102</v>
      </c>
      <c r="H17" s="667">
        <v>3471</v>
      </c>
      <c r="I17" s="675">
        <v>3631</v>
      </c>
      <c r="J17" s="685">
        <f aca="true" t="shared" si="6" ref="J17:J23">SUM(K17:L17)</f>
        <v>7345</v>
      </c>
      <c r="K17" s="667">
        <v>3602</v>
      </c>
      <c r="L17" s="675">
        <v>3743</v>
      </c>
      <c r="M17" s="685">
        <f aca="true" t="shared" si="7" ref="M17:M23">SUM(N17:O17)</f>
        <v>7391</v>
      </c>
      <c r="N17" s="667">
        <v>3502</v>
      </c>
      <c r="O17" s="675">
        <v>3889</v>
      </c>
    </row>
    <row r="18" spans="1:15" ht="25.5" customHeight="1">
      <c r="A18" s="671"/>
      <c r="B18" s="672" t="s">
        <v>168</v>
      </c>
      <c r="C18" s="673"/>
      <c r="D18" s="685">
        <f t="shared" si="4"/>
        <v>6546</v>
      </c>
      <c r="E18" s="667">
        <v>3187</v>
      </c>
      <c r="F18" s="675">
        <v>3359</v>
      </c>
      <c r="G18" s="685">
        <f t="shared" si="5"/>
        <v>7394</v>
      </c>
      <c r="H18" s="667">
        <v>3551</v>
      </c>
      <c r="I18" s="675">
        <v>3843</v>
      </c>
      <c r="J18" s="685">
        <f t="shared" si="6"/>
        <v>7197</v>
      </c>
      <c r="K18" s="667">
        <v>3556</v>
      </c>
      <c r="L18" s="675">
        <v>3641</v>
      </c>
      <c r="M18" s="685">
        <f t="shared" si="7"/>
        <v>7390</v>
      </c>
      <c r="N18" s="667">
        <v>3642</v>
      </c>
      <c r="O18" s="675">
        <v>3748</v>
      </c>
    </row>
    <row r="19" spans="1:15" ht="25.5" customHeight="1">
      <c r="A19" s="671"/>
      <c r="B19" s="672" t="s">
        <v>169</v>
      </c>
      <c r="C19" s="673"/>
      <c r="D19" s="685">
        <f t="shared" si="4"/>
        <v>4402</v>
      </c>
      <c r="E19" s="667">
        <v>2147</v>
      </c>
      <c r="F19" s="675">
        <v>2255</v>
      </c>
      <c r="G19" s="685">
        <f t="shared" si="5"/>
        <v>6441</v>
      </c>
      <c r="H19" s="667">
        <v>3098</v>
      </c>
      <c r="I19" s="675">
        <v>3343</v>
      </c>
      <c r="J19" s="685">
        <f t="shared" si="6"/>
        <v>7518</v>
      </c>
      <c r="K19" s="667">
        <v>3590</v>
      </c>
      <c r="L19" s="675">
        <v>3928</v>
      </c>
      <c r="M19" s="685">
        <f t="shared" si="7"/>
        <v>7600</v>
      </c>
      <c r="N19" s="667">
        <v>3844</v>
      </c>
      <c r="O19" s="675">
        <v>3756</v>
      </c>
    </row>
    <row r="20" spans="1:15" ht="25.5" customHeight="1">
      <c r="A20" s="671"/>
      <c r="B20" s="672" t="s">
        <v>170</v>
      </c>
      <c r="C20" s="673"/>
      <c r="D20" s="685">
        <f t="shared" si="4"/>
        <v>4514</v>
      </c>
      <c r="E20" s="667">
        <v>2243</v>
      </c>
      <c r="F20" s="675">
        <v>2271</v>
      </c>
      <c r="G20" s="685">
        <f t="shared" si="5"/>
        <v>5053</v>
      </c>
      <c r="H20" s="667">
        <v>2547</v>
      </c>
      <c r="I20" s="675">
        <v>2506</v>
      </c>
      <c r="J20" s="685">
        <f t="shared" si="6"/>
        <v>7000</v>
      </c>
      <c r="K20" s="667">
        <v>3380</v>
      </c>
      <c r="L20" s="675">
        <v>3620</v>
      </c>
      <c r="M20" s="685">
        <f t="shared" si="7"/>
        <v>8444</v>
      </c>
      <c r="N20" s="667">
        <v>4065</v>
      </c>
      <c r="O20" s="675">
        <v>4379</v>
      </c>
    </row>
    <row r="21" spans="1:15" ht="25.5" customHeight="1">
      <c r="A21" s="671"/>
      <c r="B21" s="672" t="s">
        <v>171</v>
      </c>
      <c r="C21" s="677" t="s">
        <v>163</v>
      </c>
      <c r="D21" s="685">
        <f t="shared" si="4"/>
        <v>3460</v>
      </c>
      <c r="E21" s="667">
        <v>1687</v>
      </c>
      <c r="F21" s="675">
        <v>1773</v>
      </c>
      <c r="G21" s="685">
        <f t="shared" si="5"/>
        <v>3629</v>
      </c>
      <c r="H21" s="667">
        <v>1666</v>
      </c>
      <c r="I21" s="675">
        <v>1963</v>
      </c>
      <c r="J21" s="685">
        <f t="shared" si="6"/>
        <v>3721</v>
      </c>
      <c r="K21" s="667">
        <v>1702</v>
      </c>
      <c r="L21" s="675">
        <v>2019</v>
      </c>
      <c r="M21" s="685">
        <f t="shared" si="7"/>
        <v>4649</v>
      </c>
      <c r="N21" s="667">
        <v>1959</v>
      </c>
      <c r="O21" s="675">
        <v>2690</v>
      </c>
    </row>
    <row r="22" spans="1:15" ht="25.5" customHeight="1">
      <c r="A22" s="671"/>
      <c r="B22" s="672" t="s">
        <v>171</v>
      </c>
      <c r="C22" s="677" t="s">
        <v>165</v>
      </c>
      <c r="D22" s="685">
        <f t="shared" si="4"/>
        <v>3742</v>
      </c>
      <c r="E22" s="667">
        <v>1874</v>
      </c>
      <c r="F22" s="675">
        <v>1868</v>
      </c>
      <c r="G22" s="685">
        <f t="shared" si="5"/>
        <v>4088</v>
      </c>
      <c r="H22" s="667">
        <v>2097</v>
      </c>
      <c r="I22" s="675">
        <v>1991</v>
      </c>
      <c r="J22" s="685">
        <f t="shared" si="6"/>
        <v>4168</v>
      </c>
      <c r="K22" s="667">
        <v>2030</v>
      </c>
      <c r="L22" s="675">
        <v>2138</v>
      </c>
      <c r="M22" s="685">
        <f t="shared" si="7"/>
        <v>4345</v>
      </c>
      <c r="N22" s="667">
        <v>2008</v>
      </c>
      <c r="O22" s="675">
        <v>2337</v>
      </c>
    </row>
    <row r="23" spans="1:15" ht="25.5" customHeight="1">
      <c r="A23" s="678"/>
      <c r="B23" s="679" t="s">
        <v>172</v>
      </c>
      <c r="C23" s="680"/>
      <c r="D23" s="681">
        <f>SUM(E23:F23)</f>
        <v>37205</v>
      </c>
      <c r="E23" s="681">
        <f>SUM(E16:E22)</f>
        <v>18275</v>
      </c>
      <c r="F23" s="682">
        <f>SUM(F16:F22)</f>
        <v>18930</v>
      </c>
      <c r="G23" s="681">
        <f t="shared" si="5"/>
        <v>41117</v>
      </c>
      <c r="H23" s="681">
        <f>SUM(H16:H22)</f>
        <v>20105</v>
      </c>
      <c r="I23" s="682">
        <f>SUM(I16:I22)</f>
        <v>21012</v>
      </c>
      <c r="J23" s="681">
        <f t="shared" si="6"/>
        <v>44436</v>
      </c>
      <c r="K23" s="681">
        <f>SUM(K16:K22)</f>
        <v>21441</v>
      </c>
      <c r="L23" s="682">
        <f>SUM(L16:L22)</f>
        <v>22995</v>
      </c>
      <c r="M23" s="681">
        <f t="shared" si="7"/>
        <v>47040</v>
      </c>
      <c r="N23" s="681">
        <f>SUM(N16:N22)</f>
        <v>22607</v>
      </c>
      <c r="O23" s="682">
        <f>SUM(O16:O22)</f>
        <v>24433</v>
      </c>
    </row>
    <row r="24" spans="1:15" ht="25.5" customHeight="1">
      <c r="A24" s="1435" t="s">
        <v>174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7"/>
    </row>
    <row r="25" spans="1:15" ht="25.5" customHeight="1">
      <c r="A25" s="664" t="s">
        <v>106</v>
      </c>
      <c r="B25" s="665" t="s">
        <v>160</v>
      </c>
      <c r="C25" s="666"/>
      <c r="D25" s="668">
        <f aca="true" t="shared" si="8" ref="D25:D31">SUM(E25:F25)</f>
        <v>10827</v>
      </c>
      <c r="E25" s="686">
        <f aca="true" t="shared" si="9" ref="E25:F31">E7-E16</f>
        <v>5136</v>
      </c>
      <c r="F25" s="670">
        <f t="shared" si="9"/>
        <v>5691</v>
      </c>
      <c r="G25" s="668">
        <f aca="true" t="shared" si="10" ref="G25:G31">SUM(H25:I25)</f>
        <v>11107</v>
      </c>
      <c r="H25" s="686">
        <f aca="true" t="shared" si="11" ref="H25:I31">H7-H16</f>
        <v>5273</v>
      </c>
      <c r="I25" s="670">
        <f t="shared" si="11"/>
        <v>5834</v>
      </c>
      <c r="J25" s="668">
        <f aca="true" t="shared" si="12" ref="J25:J31">SUM(K25:L25)</f>
        <v>10841</v>
      </c>
      <c r="K25" s="686">
        <f>K7-K16</f>
        <v>5225</v>
      </c>
      <c r="L25" s="670">
        <f>L7-L16</f>
        <v>5616</v>
      </c>
      <c r="M25" s="668">
        <f aca="true" t="shared" si="13" ref="M25:M31">SUM(N25:O25)</f>
        <v>9807</v>
      </c>
      <c r="N25" s="686">
        <f>N7-N16</f>
        <v>4582</v>
      </c>
      <c r="O25" s="670">
        <f>O7-O16</f>
        <v>5225</v>
      </c>
    </row>
    <row r="26" spans="1:15" ht="25.5" customHeight="1">
      <c r="A26" s="671"/>
      <c r="B26" s="672" t="s">
        <v>167</v>
      </c>
      <c r="C26" s="673"/>
      <c r="D26" s="687">
        <f t="shared" si="8"/>
        <v>11172</v>
      </c>
      <c r="E26" s="674">
        <f t="shared" si="9"/>
        <v>5286</v>
      </c>
      <c r="F26" s="676">
        <f t="shared" si="9"/>
        <v>5886</v>
      </c>
      <c r="G26" s="687">
        <f t="shared" si="10"/>
        <v>11084</v>
      </c>
      <c r="H26" s="674">
        <f t="shared" si="11"/>
        <v>5248</v>
      </c>
      <c r="I26" s="676">
        <f t="shared" si="11"/>
        <v>5836</v>
      </c>
      <c r="J26" s="687">
        <f t="shared" si="12"/>
        <v>11414</v>
      </c>
      <c r="K26" s="674">
        <f aca="true" t="shared" si="14" ref="K26:L31">K8-K17</f>
        <v>5472</v>
      </c>
      <c r="L26" s="676">
        <f t="shared" si="14"/>
        <v>5942</v>
      </c>
      <c r="M26" s="687">
        <f t="shared" si="13"/>
        <v>10878</v>
      </c>
      <c r="N26" s="674">
        <f aca="true" t="shared" si="15" ref="N26:O31">N8-N17</f>
        <v>5238</v>
      </c>
      <c r="O26" s="676">
        <f t="shared" si="15"/>
        <v>5640</v>
      </c>
    </row>
    <row r="27" spans="1:15" ht="25.5" customHeight="1">
      <c r="A27" s="671"/>
      <c r="B27" s="672" t="s">
        <v>168</v>
      </c>
      <c r="C27" s="673"/>
      <c r="D27" s="687">
        <f t="shared" si="8"/>
        <v>12447</v>
      </c>
      <c r="E27" s="674">
        <f t="shared" si="9"/>
        <v>6019</v>
      </c>
      <c r="F27" s="676">
        <f t="shared" si="9"/>
        <v>6428</v>
      </c>
      <c r="G27" s="687">
        <f t="shared" si="10"/>
        <v>11408</v>
      </c>
      <c r="H27" s="674">
        <f t="shared" si="11"/>
        <v>5409</v>
      </c>
      <c r="I27" s="676">
        <f t="shared" si="11"/>
        <v>5999</v>
      </c>
      <c r="J27" s="687">
        <f t="shared" si="12"/>
        <v>11175</v>
      </c>
      <c r="K27" s="674">
        <f t="shared" si="14"/>
        <v>5403</v>
      </c>
      <c r="L27" s="676">
        <f t="shared" si="14"/>
        <v>5772</v>
      </c>
      <c r="M27" s="687">
        <f t="shared" si="13"/>
        <v>11402</v>
      </c>
      <c r="N27" s="674">
        <f t="shared" si="15"/>
        <v>5450</v>
      </c>
      <c r="O27" s="676">
        <f t="shared" si="15"/>
        <v>5952</v>
      </c>
    </row>
    <row r="28" spans="1:15" ht="25.5" customHeight="1">
      <c r="A28" s="671"/>
      <c r="B28" s="672" t="s">
        <v>169</v>
      </c>
      <c r="C28" s="673"/>
      <c r="D28" s="687">
        <f t="shared" si="8"/>
        <v>14449</v>
      </c>
      <c r="E28" s="674">
        <f t="shared" si="9"/>
        <v>6942</v>
      </c>
      <c r="F28" s="676">
        <f t="shared" si="9"/>
        <v>7507</v>
      </c>
      <c r="G28" s="687">
        <f t="shared" si="10"/>
        <v>13783</v>
      </c>
      <c r="H28" s="674">
        <f t="shared" si="11"/>
        <v>6817</v>
      </c>
      <c r="I28" s="676">
        <f t="shared" si="11"/>
        <v>6966</v>
      </c>
      <c r="J28" s="687">
        <f t="shared" si="12"/>
        <v>12674</v>
      </c>
      <c r="K28" s="674">
        <f t="shared" si="14"/>
        <v>6065</v>
      </c>
      <c r="L28" s="676">
        <f t="shared" si="14"/>
        <v>6609</v>
      </c>
      <c r="M28" s="687">
        <f t="shared" si="13"/>
        <v>12332</v>
      </c>
      <c r="N28" s="674">
        <f t="shared" si="15"/>
        <v>5950</v>
      </c>
      <c r="O28" s="676">
        <f t="shared" si="15"/>
        <v>6382</v>
      </c>
    </row>
    <row r="29" spans="1:15" ht="25.5" customHeight="1">
      <c r="A29" s="671"/>
      <c r="B29" s="672" t="s">
        <v>170</v>
      </c>
      <c r="C29" s="673"/>
      <c r="D29" s="687">
        <f t="shared" si="8"/>
        <v>14211</v>
      </c>
      <c r="E29" s="674">
        <f t="shared" si="9"/>
        <v>6825</v>
      </c>
      <c r="F29" s="676">
        <f t="shared" si="9"/>
        <v>7386</v>
      </c>
      <c r="G29" s="687">
        <f t="shared" si="10"/>
        <v>14874</v>
      </c>
      <c r="H29" s="674">
        <f t="shared" si="11"/>
        <v>7103</v>
      </c>
      <c r="I29" s="676">
        <f t="shared" si="11"/>
        <v>7771</v>
      </c>
      <c r="J29" s="687">
        <f t="shared" si="12"/>
        <v>13996</v>
      </c>
      <c r="K29" s="674">
        <f t="shared" si="14"/>
        <v>6829</v>
      </c>
      <c r="L29" s="676">
        <f t="shared" si="14"/>
        <v>7167</v>
      </c>
      <c r="M29" s="687">
        <f t="shared" si="13"/>
        <v>12823</v>
      </c>
      <c r="N29" s="674">
        <f t="shared" si="15"/>
        <v>6321</v>
      </c>
      <c r="O29" s="676">
        <f t="shared" si="15"/>
        <v>6502</v>
      </c>
    </row>
    <row r="30" spans="1:15" ht="25.5" customHeight="1">
      <c r="A30" s="671"/>
      <c r="B30" s="672" t="s">
        <v>171</v>
      </c>
      <c r="C30" s="677" t="s">
        <v>163</v>
      </c>
      <c r="D30" s="687">
        <f t="shared" si="8"/>
        <v>5335</v>
      </c>
      <c r="E30" s="674">
        <f t="shared" si="9"/>
        <v>2385</v>
      </c>
      <c r="F30" s="676">
        <f t="shared" si="9"/>
        <v>2950</v>
      </c>
      <c r="G30" s="687">
        <f t="shared" si="10"/>
        <v>5911</v>
      </c>
      <c r="H30" s="674">
        <f t="shared" si="11"/>
        <v>2732</v>
      </c>
      <c r="I30" s="676">
        <f t="shared" si="11"/>
        <v>3179</v>
      </c>
      <c r="J30" s="687">
        <f t="shared" si="12"/>
        <v>6445</v>
      </c>
      <c r="K30" s="674">
        <f t="shared" si="14"/>
        <v>3007</v>
      </c>
      <c r="L30" s="676">
        <f t="shared" si="14"/>
        <v>3438</v>
      </c>
      <c r="M30" s="687">
        <f t="shared" si="13"/>
        <v>6184</v>
      </c>
      <c r="N30" s="674">
        <f t="shared" si="15"/>
        <v>2888</v>
      </c>
      <c r="O30" s="676">
        <f t="shared" si="15"/>
        <v>3296</v>
      </c>
    </row>
    <row r="31" spans="1:15" ht="25.5" customHeight="1">
      <c r="A31" s="671"/>
      <c r="B31" s="672" t="s">
        <v>171</v>
      </c>
      <c r="C31" s="677" t="s">
        <v>165</v>
      </c>
      <c r="D31" s="687">
        <f t="shared" si="8"/>
        <v>4641</v>
      </c>
      <c r="E31" s="667">
        <f t="shared" si="9"/>
        <v>2120</v>
      </c>
      <c r="F31" s="676">
        <f t="shared" si="9"/>
        <v>2521</v>
      </c>
      <c r="G31" s="687">
        <f t="shared" si="10"/>
        <v>5373</v>
      </c>
      <c r="H31" s="667">
        <f t="shared" si="11"/>
        <v>2449</v>
      </c>
      <c r="I31" s="676">
        <f t="shared" si="11"/>
        <v>2924</v>
      </c>
      <c r="J31" s="687">
        <f t="shared" si="12"/>
        <v>5725</v>
      </c>
      <c r="K31" s="667">
        <f t="shared" si="14"/>
        <v>2655</v>
      </c>
      <c r="L31" s="676">
        <f t="shared" si="14"/>
        <v>3070</v>
      </c>
      <c r="M31" s="687">
        <f t="shared" si="13"/>
        <v>6037</v>
      </c>
      <c r="N31" s="667">
        <f t="shared" si="15"/>
        <v>2837</v>
      </c>
      <c r="O31" s="676">
        <f t="shared" si="15"/>
        <v>3200</v>
      </c>
    </row>
    <row r="32" spans="1:15" ht="25.5" customHeight="1">
      <c r="A32" s="678"/>
      <c r="B32" s="679" t="s">
        <v>172</v>
      </c>
      <c r="C32" s="680"/>
      <c r="D32" s="681">
        <f aca="true" t="shared" si="16" ref="D32:O32">SUM(D25:D31)</f>
        <v>73082</v>
      </c>
      <c r="E32" s="681">
        <f t="shared" si="16"/>
        <v>34713</v>
      </c>
      <c r="F32" s="683">
        <f t="shared" si="16"/>
        <v>38369</v>
      </c>
      <c r="G32" s="681">
        <f t="shared" si="16"/>
        <v>73540</v>
      </c>
      <c r="H32" s="681">
        <f t="shared" si="16"/>
        <v>35031</v>
      </c>
      <c r="I32" s="683">
        <f t="shared" si="16"/>
        <v>38509</v>
      </c>
      <c r="J32" s="681">
        <f t="shared" si="16"/>
        <v>72270</v>
      </c>
      <c r="K32" s="681">
        <f t="shared" si="16"/>
        <v>34656</v>
      </c>
      <c r="L32" s="683">
        <f t="shared" si="16"/>
        <v>37614</v>
      </c>
      <c r="M32" s="681">
        <f t="shared" si="16"/>
        <v>69463</v>
      </c>
      <c r="N32" s="681">
        <f t="shared" si="16"/>
        <v>33266</v>
      </c>
      <c r="O32" s="683">
        <f t="shared" si="16"/>
        <v>36197</v>
      </c>
    </row>
  </sheetData>
  <mergeCells count="7">
    <mergeCell ref="A4:C5"/>
    <mergeCell ref="A6:O6"/>
    <mergeCell ref="A15:O15"/>
    <mergeCell ref="A24:O24"/>
    <mergeCell ref="J4:L4"/>
    <mergeCell ref="M4:O4"/>
    <mergeCell ref="G4:I4"/>
  </mergeCells>
  <printOptions/>
  <pageMargins left="0.82" right="0.27" top="0.75" bottom="0.21" header="0.46" footer="0.18"/>
  <pageSetup horizontalDpi="600" verticalDpi="600" orientation="portrait" paperSize="9" r:id="rId1"/>
  <headerFooter alignWithMargins="0">
    <oddHeader xml:space="preserve">&amp;C&amp;"Times New Roman,Regular"- 23 -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C6" sqref="C6"/>
    </sheetView>
  </sheetViews>
  <sheetFormatPr defaultColWidth="9.140625" defaultRowHeight="12.75"/>
  <cols>
    <col min="1" max="1" width="26.7109375" style="494" customWidth="1"/>
    <col min="2" max="2" width="10.57421875" style="494" customWidth="1"/>
    <col min="3" max="3" width="13.00390625" style="494" customWidth="1"/>
    <col min="4" max="7" width="11.00390625" style="494" customWidth="1"/>
    <col min="36" max="16384" width="9.140625" style="494" customWidth="1"/>
  </cols>
  <sheetData>
    <row r="1" spans="1:35" s="492" customFormat="1" ht="26.25" customHeight="1">
      <c r="A1" s="492" t="s">
        <v>395</v>
      </c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</row>
    <row r="2" ht="17.25" customHeight="1"/>
    <row r="3" spans="1:35" s="500" customFormat="1" ht="21.75" customHeight="1">
      <c r="A3" s="495"/>
      <c r="B3" s="496"/>
      <c r="C3" s="1397" t="s">
        <v>150</v>
      </c>
      <c r="D3" s="497" t="s">
        <v>147</v>
      </c>
      <c r="E3" s="497"/>
      <c r="F3" s="497"/>
      <c r="G3" s="498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</row>
    <row r="4" spans="1:35" s="500" customFormat="1" ht="21.75" customHeight="1">
      <c r="A4" s="501" t="s">
        <v>17</v>
      </c>
      <c r="B4" s="502"/>
      <c r="C4" s="1398"/>
      <c r="D4" s="1441" t="s">
        <v>175</v>
      </c>
      <c r="E4" s="1442"/>
      <c r="F4" s="503" t="s">
        <v>177</v>
      </c>
      <c r="G4" s="498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</row>
    <row r="5" spans="1:35" s="500" customFormat="1" ht="21.75" customHeight="1">
      <c r="A5" s="508"/>
      <c r="B5" s="509"/>
      <c r="C5" s="1399"/>
      <c r="D5" s="510" t="s">
        <v>62</v>
      </c>
      <c r="E5" s="511" t="s">
        <v>7</v>
      </c>
      <c r="F5" s="510" t="s">
        <v>62</v>
      </c>
      <c r="G5" s="512" t="s">
        <v>7</v>
      </c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</row>
    <row r="6" spans="1:35" s="500" customFormat="1" ht="25.5" customHeight="1">
      <c r="A6" s="515" t="s">
        <v>63</v>
      </c>
      <c r="B6" s="506"/>
      <c r="C6" s="516">
        <f>D6+F6</f>
        <v>21</v>
      </c>
      <c r="D6" s="517">
        <v>8</v>
      </c>
      <c r="E6" s="518">
        <f>(D6/C6)*100</f>
        <v>38.095238095238095</v>
      </c>
      <c r="F6" s="517">
        <v>13</v>
      </c>
      <c r="G6" s="518">
        <f aca="true" t="shared" si="0" ref="G6:G17">(F6/C6)*100</f>
        <v>61.904761904761905</v>
      </c>
      <c r="H6" s="521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</row>
    <row r="7" spans="1:35" s="500" customFormat="1" ht="25.5" customHeight="1">
      <c r="A7" s="515" t="s">
        <v>64</v>
      </c>
      <c r="B7" s="506"/>
      <c r="C7" s="516">
        <f>D7+F7</f>
        <v>14</v>
      </c>
      <c r="D7" s="517">
        <v>7</v>
      </c>
      <c r="E7" s="518">
        <f aca="true" t="shared" si="1" ref="E7:E17">(D7/C7)*100</f>
        <v>50</v>
      </c>
      <c r="F7" s="517">
        <v>7</v>
      </c>
      <c r="G7" s="518">
        <f t="shared" si="0"/>
        <v>50</v>
      </c>
      <c r="H7" s="521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</row>
    <row r="8" spans="1:35" s="500" customFormat="1" ht="25.5" customHeight="1">
      <c r="A8" s="515" t="s">
        <v>66</v>
      </c>
      <c r="B8" s="506"/>
      <c r="C8" s="516">
        <f aca="true" t="shared" si="2" ref="C8:C14">D8+F8</f>
        <v>13</v>
      </c>
      <c r="D8" s="517">
        <v>8</v>
      </c>
      <c r="E8" s="518">
        <f t="shared" si="1"/>
        <v>61.53846153846154</v>
      </c>
      <c r="F8" s="517">
        <v>5</v>
      </c>
      <c r="G8" s="518">
        <f t="shared" si="0"/>
        <v>38.46153846153847</v>
      </c>
      <c r="H8" s="521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</row>
    <row r="9" spans="1:35" s="500" customFormat="1" ht="25.5" customHeight="1">
      <c r="A9" s="515" t="s">
        <v>67</v>
      </c>
      <c r="B9" s="506"/>
      <c r="C9" s="516">
        <f t="shared" si="2"/>
        <v>13</v>
      </c>
      <c r="D9" s="517">
        <v>8</v>
      </c>
      <c r="E9" s="518">
        <f t="shared" si="1"/>
        <v>61.53846153846154</v>
      </c>
      <c r="F9" s="517">
        <v>5</v>
      </c>
      <c r="G9" s="518">
        <f t="shared" si="0"/>
        <v>38.46153846153847</v>
      </c>
      <c r="H9" s="521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</row>
    <row r="10" spans="1:35" s="500" customFormat="1" ht="25.5" customHeight="1">
      <c r="A10" s="515" t="s">
        <v>68</v>
      </c>
      <c r="B10" s="506"/>
      <c r="C10" s="516">
        <f t="shared" si="2"/>
        <v>11</v>
      </c>
      <c r="D10" s="517">
        <v>4</v>
      </c>
      <c r="E10" s="518">
        <f t="shared" si="1"/>
        <v>36.36363636363637</v>
      </c>
      <c r="F10" s="517">
        <v>7</v>
      </c>
      <c r="G10" s="518">
        <f t="shared" si="0"/>
        <v>63.63636363636363</v>
      </c>
      <c r="H10" s="521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</row>
    <row r="11" spans="1:35" s="500" customFormat="1" ht="25.5" customHeight="1">
      <c r="A11" s="515" t="s">
        <v>69</v>
      </c>
      <c r="B11" s="506"/>
      <c r="C11" s="516">
        <f t="shared" si="2"/>
        <v>6</v>
      </c>
      <c r="D11" s="517">
        <v>3</v>
      </c>
      <c r="E11" s="518">
        <f t="shared" si="1"/>
        <v>50</v>
      </c>
      <c r="F11" s="517">
        <v>3</v>
      </c>
      <c r="G11" s="518">
        <f t="shared" si="0"/>
        <v>50</v>
      </c>
      <c r="H11" s="521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</row>
    <row r="12" spans="1:35" s="500" customFormat="1" ht="25.5" customHeight="1">
      <c r="A12" s="515" t="s">
        <v>70</v>
      </c>
      <c r="B12" s="506"/>
      <c r="C12" s="516">
        <f t="shared" si="2"/>
        <v>42</v>
      </c>
      <c r="D12" s="517">
        <v>17</v>
      </c>
      <c r="E12" s="518">
        <f t="shared" si="1"/>
        <v>40.476190476190474</v>
      </c>
      <c r="F12" s="517">
        <v>25</v>
      </c>
      <c r="G12" s="518">
        <f t="shared" si="0"/>
        <v>59.523809523809526</v>
      </c>
      <c r="H12" s="521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</row>
    <row r="13" spans="1:35" s="500" customFormat="1" ht="25.5" customHeight="1">
      <c r="A13" s="515" t="s">
        <v>71</v>
      </c>
      <c r="B13" s="506"/>
      <c r="C13" s="516">
        <f t="shared" si="2"/>
        <v>8</v>
      </c>
      <c r="D13" s="517">
        <v>4</v>
      </c>
      <c r="E13" s="518">
        <f t="shared" si="1"/>
        <v>50</v>
      </c>
      <c r="F13" s="517">
        <v>4</v>
      </c>
      <c r="G13" s="518">
        <f t="shared" si="0"/>
        <v>50</v>
      </c>
      <c r="H13" s="521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</row>
    <row r="14" spans="1:35" s="500" customFormat="1" ht="25.5" customHeight="1">
      <c r="A14" s="515" t="s">
        <v>72</v>
      </c>
      <c r="B14" s="506"/>
      <c r="C14" s="516">
        <f t="shared" si="2"/>
        <v>5</v>
      </c>
      <c r="D14" s="517">
        <v>3</v>
      </c>
      <c r="E14" s="525">
        <f t="shared" si="1"/>
        <v>60</v>
      </c>
      <c r="F14" s="517">
        <v>2</v>
      </c>
      <c r="G14" s="525">
        <f t="shared" si="0"/>
        <v>40</v>
      </c>
      <c r="H14" s="521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</row>
    <row r="15" spans="1:35" s="500" customFormat="1" ht="26.25" customHeight="1">
      <c r="A15" s="495" t="s">
        <v>73</v>
      </c>
      <c r="B15" s="496"/>
      <c r="C15" s="688">
        <f>SUM(C6:C14)</f>
        <v>133</v>
      </c>
      <c r="D15" s="527">
        <f>SUM(D6:D14)</f>
        <v>62</v>
      </c>
      <c r="E15" s="528">
        <f t="shared" si="1"/>
        <v>46.616541353383454</v>
      </c>
      <c r="F15" s="529">
        <f>SUM(F6:F14)</f>
        <v>71</v>
      </c>
      <c r="G15" s="528">
        <f t="shared" si="0"/>
        <v>53.383458646616546</v>
      </c>
      <c r="H15" s="521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</row>
    <row r="16" spans="1:35" s="500" customFormat="1" ht="26.25" customHeight="1">
      <c r="A16" s="515" t="s">
        <v>74</v>
      </c>
      <c r="B16" s="506"/>
      <c r="C16" s="524">
        <v>5</v>
      </c>
      <c r="D16" s="531">
        <v>0</v>
      </c>
      <c r="E16" s="526">
        <v>0</v>
      </c>
      <c r="F16" s="532">
        <v>5</v>
      </c>
      <c r="G16" s="525">
        <f t="shared" si="0"/>
        <v>100</v>
      </c>
      <c r="H16" s="521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</row>
    <row r="17" spans="1:35" s="500" customFormat="1" ht="28.5" customHeight="1">
      <c r="A17" s="535" t="s">
        <v>75</v>
      </c>
      <c r="B17" s="536"/>
      <c r="C17" s="537">
        <f>D17+F17</f>
        <v>138</v>
      </c>
      <c r="D17" s="538">
        <f>SUM(D15+D16)</f>
        <v>62</v>
      </c>
      <c r="E17" s="525">
        <f t="shared" si="1"/>
        <v>44.927536231884055</v>
      </c>
      <c r="F17" s="538">
        <f>SUM(F15+F16)</f>
        <v>76</v>
      </c>
      <c r="G17" s="525">
        <f t="shared" si="0"/>
        <v>55.072463768115945</v>
      </c>
      <c r="H17" s="521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</row>
    <row r="18" spans="8:35" s="500" customFormat="1" ht="32.25" customHeight="1"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</row>
    <row r="19" spans="1:35" s="492" customFormat="1" ht="15" customHeight="1">
      <c r="A19" s="492" t="s">
        <v>396</v>
      </c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</row>
    <row r="20" spans="8:35" s="500" customFormat="1" ht="17.25" customHeight="1"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</row>
    <row r="21" spans="1:35" s="500" customFormat="1" ht="21.75" customHeight="1">
      <c r="A21" s="495"/>
      <c r="B21" s="496"/>
      <c r="C21" s="1397" t="s">
        <v>150</v>
      </c>
      <c r="D21" s="497" t="s">
        <v>147</v>
      </c>
      <c r="E21" s="497"/>
      <c r="F21" s="497"/>
      <c r="G21" s="498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</row>
    <row r="22" spans="1:35" s="500" customFormat="1" ht="21.75" customHeight="1">
      <c r="A22" s="501" t="s">
        <v>34</v>
      </c>
      <c r="B22" s="502"/>
      <c r="C22" s="1398"/>
      <c r="D22" s="1441" t="s">
        <v>176</v>
      </c>
      <c r="E22" s="1442"/>
      <c r="F22" s="503" t="s">
        <v>178</v>
      </c>
      <c r="G22" s="498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</row>
    <row r="23" spans="1:35" s="500" customFormat="1" ht="21.75" customHeight="1">
      <c r="A23" s="508"/>
      <c r="B23" s="509"/>
      <c r="C23" s="1399"/>
      <c r="D23" s="510" t="s">
        <v>62</v>
      </c>
      <c r="E23" s="511" t="s">
        <v>7</v>
      </c>
      <c r="F23" s="510" t="s">
        <v>62</v>
      </c>
      <c r="G23" s="512" t="s">
        <v>7</v>
      </c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</row>
    <row r="24" spans="1:35" s="500" customFormat="1" ht="28.5" customHeight="1">
      <c r="A24" s="515" t="s">
        <v>35</v>
      </c>
      <c r="B24" s="506"/>
      <c r="C24" s="516">
        <f aca="true" t="shared" si="3" ref="C24:C29">D24+F24</f>
        <v>49</v>
      </c>
      <c r="D24" s="517">
        <v>24</v>
      </c>
      <c r="E24" s="541">
        <f aca="true" t="shared" si="4" ref="E24:E29">(D24/C24)*100</f>
        <v>48.97959183673469</v>
      </c>
      <c r="F24" s="517">
        <v>25</v>
      </c>
      <c r="G24" s="541">
        <f aca="true" t="shared" si="5" ref="G24:G29">(F24/C24)*100</f>
        <v>51.02040816326531</v>
      </c>
      <c r="H24" s="543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</row>
    <row r="25" spans="1:35" s="500" customFormat="1" ht="31.5" customHeight="1">
      <c r="A25" s="1395" t="s">
        <v>36</v>
      </c>
      <c r="B25" s="1396"/>
      <c r="C25" s="516">
        <f t="shared" si="3"/>
        <v>34</v>
      </c>
      <c r="D25" s="517">
        <v>16</v>
      </c>
      <c r="E25" s="541">
        <f t="shared" si="4"/>
        <v>47.05882352941176</v>
      </c>
      <c r="F25" s="517">
        <v>18</v>
      </c>
      <c r="G25" s="541">
        <f t="shared" si="5"/>
        <v>52.94117647058824</v>
      </c>
      <c r="H25" s="543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</row>
    <row r="26" spans="1:35" s="500" customFormat="1" ht="31.5" customHeight="1">
      <c r="A26" s="515" t="s">
        <v>37</v>
      </c>
      <c r="B26" s="506"/>
      <c r="C26" s="516">
        <f t="shared" si="3"/>
        <v>27</v>
      </c>
      <c r="D26" s="517">
        <v>9</v>
      </c>
      <c r="E26" s="541">
        <f t="shared" si="4"/>
        <v>33.33333333333333</v>
      </c>
      <c r="F26" s="517">
        <v>18</v>
      </c>
      <c r="G26" s="541">
        <f t="shared" si="5"/>
        <v>66.66666666666666</v>
      </c>
      <c r="H26" s="543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</row>
    <row r="27" spans="1:35" s="500" customFormat="1" ht="31.5" customHeight="1">
      <c r="A27" s="515" t="s">
        <v>55</v>
      </c>
      <c r="B27" s="545"/>
      <c r="C27" s="516">
        <f t="shared" si="3"/>
        <v>23</v>
      </c>
      <c r="D27" s="517">
        <v>13</v>
      </c>
      <c r="E27" s="541">
        <f t="shared" si="4"/>
        <v>56.52173913043478</v>
      </c>
      <c r="F27" s="517">
        <v>10</v>
      </c>
      <c r="G27" s="541">
        <f t="shared" si="5"/>
        <v>43.47826086956522</v>
      </c>
      <c r="H27" s="543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</row>
    <row r="28" spans="1:35" s="500" customFormat="1" ht="31.5" customHeight="1">
      <c r="A28" s="515" t="s">
        <v>39</v>
      </c>
      <c r="B28" s="506"/>
      <c r="C28" s="524">
        <f t="shared" si="3"/>
        <v>5</v>
      </c>
      <c r="D28" s="546">
        <v>0</v>
      </c>
      <c r="E28" s="547">
        <v>0</v>
      </c>
      <c r="F28" s="538">
        <v>5</v>
      </c>
      <c r="G28" s="548">
        <f t="shared" si="5"/>
        <v>100</v>
      </c>
      <c r="H28" s="543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</row>
    <row r="29" spans="1:35" s="500" customFormat="1" ht="39" customHeight="1">
      <c r="A29" s="535" t="s">
        <v>56</v>
      </c>
      <c r="B29" s="536"/>
      <c r="C29" s="524">
        <f t="shared" si="3"/>
        <v>138</v>
      </c>
      <c r="D29" s="532">
        <f>SUM(D24:D28)</f>
        <v>62</v>
      </c>
      <c r="E29" s="549">
        <f t="shared" si="4"/>
        <v>44.927536231884055</v>
      </c>
      <c r="F29" s="538">
        <f>SUM(F24:F28)</f>
        <v>76</v>
      </c>
      <c r="G29" s="548">
        <f t="shared" si="5"/>
        <v>55.072463768115945</v>
      </c>
      <c r="H29" s="543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</row>
    <row r="30" spans="1:35" s="500" customFormat="1" ht="19.5" customHeight="1">
      <c r="A30" s="506"/>
      <c r="B30" s="506"/>
      <c r="C30" s="991"/>
      <c r="D30" s="991"/>
      <c r="E30" s="992"/>
      <c r="F30" s="991"/>
      <c r="G30" s="992"/>
      <c r="H30" s="543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</row>
    <row r="31" ht="17.25" customHeight="1">
      <c r="A31" s="551"/>
    </row>
    <row r="32" spans="1:7" s="553" customFormat="1" ht="15" customHeight="1">
      <c r="A32" s="552" t="s">
        <v>286</v>
      </c>
      <c r="B32" s="552"/>
      <c r="C32" s="552"/>
      <c r="D32" s="552"/>
      <c r="E32" s="552"/>
      <c r="F32" s="552"/>
      <c r="G32" s="552"/>
    </row>
    <row r="33" spans="1:9" s="554" customFormat="1" ht="15" customHeight="1">
      <c r="A33" s="1443" t="s">
        <v>179</v>
      </c>
      <c r="B33" s="1394"/>
      <c r="C33" s="1394"/>
      <c r="D33" s="1394"/>
      <c r="E33" s="1394"/>
      <c r="F33" s="1394"/>
      <c r="G33" s="1394"/>
      <c r="H33" s="1253"/>
      <c r="I33" s="1253"/>
    </row>
    <row r="34" spans="1:7" s="554" customFormat="1" ht="18" customHeight="1">
      <c r="A34" s="494"/>
      <c r="B34" s="494"/>
      <c r="C34" s="555"/>
      <c r="D34" s="555"/>
      <c r="E34" s="555"/>
      <c r="F34" s="555"/>
      <c r="G34" s="555"/>
    </row>
  </sheetData>
  <mergeCells count="6">
    <mergeCell ref="C3:C5"/>
    <mergeCell ref="D4:E4"/>
    <mergeCell ref="A25:B25"/>
    <mergeCell ref="A33:I33"/>
    <mergeCell ref="C21:C23"/>
    <mergeCell ref="D22:E22"/>
  </mergeCells>
  <printOptions horizontalCentered="1"/>
  <pageMargins left="0.64" right="0.25" top="0.6" bottom="0.31" header="0.35" footer="0"/>
  <pageSetup horizontalDpi="300" verticalDpi="300" orientation="portrait" paperSize="9" scale="92" r:id="rId1"/>
  <headerFooter alignWithMargins="0">
    <oddHeader>&amp;C&amp;"Times New Roman,Regular"&amp;11- 24 -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140625" defaultRowHeight="12.75"/>
  <cols>
    <col min="1" max="1" width="46.00390625" style="54" customWidth="1"/>
    <col min="2" max="2" width="9.140625" style="54" customWidth="1"/>
    <col min="3" max="3" width="10.140625" style="54" bestFit="1" customWidth="1"/>
    <col min="4" max="16384" width="9.140625" style="54" customWidth="1"/>
  </cols>
  <sheetData>
    <row r="2" ht="15">
      <c r="A2" s="2" t="s">
        <v>425</v>
      </c>
    </row>
    <row r="4" spans="1:10" ht="20.25" customHeight="1">
      <c r="A4" s="2"/>
      <c r="B4" s="1200">
        <v>2004</v>
      </c>
      <c r="C4" s="1200">
        <v>2005</v>
      </c>
      <c r="D4" s="1200">
        <v>2006</v>
      </c>
      <c r="E4" s="1200">
        <v>2007</v>
      </c>
      <c r="F4" s="1200">
        <v>2008</v>
      </c>
      <c r="G4" s="2"/>
      <c r="H4" s="2"/>
      <c r="I4" s="2"/>
      <c r="J4" s="2"/>
    </row>
    <row r="5" spans="1:10" ht="15">
      <c r="A5" s="12" t="s">
        <v>373</v>
      </c>
      <c r="B5" s="2"/>
      <c r="C5" s="2"/>
      <c r="D5" s="2"/>
      <c r="E5" s="2"/>
      <c r="F5" s="2"/>
      <c r="G5" s="2"/>
      <c r="H5" s="2"/>
      <c r="I5" s="2"/>
      <c r="J5" s="2"/>
    </row>
    <row r="6" spans="1:10" ht="18.75" customHeight="1">
      <c r="A6" s="1201" t="s">
        <v>374</v>
      </c>
      <c r="B6" s="1202">
        <v>1070</v>
      </c>
      <c r="C6" s="1202">
        <v>1072</v>
      </c>
      <c r="D6" s="1202">
        <v>1087</v>
      </c>
      <c r="E6" s="1202">
        <v>1076</v>
      </c>
      <c r="F6" s="1202">
        <v>1070</v>
      </c>
      <c r="G6" s="2"/>
      <c r="H6" s="2"/>
      <c r="I6" s="2"/>
      <c r="J6" s="2"/>
    </row>
    <row r="7" spans="1:10" ht="18.75" customHeight="1">
      <c r="A7" s="1203" t="s">
        <v>182</v>
      </c>
      <c r="B7" s="1204">
        <v>37483</v>
      </c>
      <c r="C7" s="1204">
        <v>37356</v>
      </c>
      <c r="D7" s="1204">
        <v>37129</v>
      </c>
      <c r="E7" s="1204">
        <v>36467</v>
      </c>
      <c r="F7" s="1204">
        <v>36242</v>
      </c>
      <c r="G7" s="2"/>
      <c r="H7" s="2"/>
      <c r="I7" s="2"/>
      <c r="J7" s="2"/>
    </row>
    <row r="8" spans="1:10" ht="18.75" customHeight="1">
      <c r="A8" s="1203" t="s">
        <v>375</v>
      </c>
      <c r="B8" s="1204">
        <v>2474</v>
      </c>
      <c r="C8" s="1204">
        <v>2501</v>
      </c>
      <c r="D8" s="1204">
        <v>2527</v>
      </c>
      <c r="E8" s="1204">
        <v>2513</v>
      </c>
      <c r="F8" s="1204">
        <v>2541</v>
      </c>
      <c r="G8" s="2"/>
      <c r="H8" s="2"/>
      <c r="I8" s="2"/>
      <c r="J8" s="2"/>
    </row>
    <row r="9" spans="1:10" ht="18.75" customHeight="1">
      <c r="A9" s="1203" t="s">
        <v>426</v>
      </c>
      <c r="B9" s="1203">
        <v>96</v>
      </c>
      <c r="C9" s="1203">
        <v>94</v>
      </c>
      <c r="D9" s="1203">
        <v>95</v>
      </c>
      <c r="E9" s="1203">
        <v>94</v>
      </c>
      <c r="F9" s="1203">
        <v>94</v>
      </c>
      <c r="G9" s="2"/>
      <c r="H9" s="2"/>
      <c r="I9" s="2"/>
      <c r="J9" s="2"/>
    </row>
    <row r="10" spans="1:10" ht="18.75" customHeight="1">
      <c r="A10" s="1205" t="s">
        <v>376</v>
      </c>
      <c r="B10" s="1205">
        <v>15</v>
      </c>
      <c r="C10" s="1205">
        <v>15</v>
      </c>
      <c r="D10" s="1205">
        <v>15</v>
      </c>
      <c r="E10" s="1205">
        <v>15</v>
      </c>
      <c r="F10" s="1205">
        <v>14</v>
      </c>
      <c r="G10" s="2"/>
      <c r="H10" s="2"/>
      <c r="I10" s="2"/>
      <c r="J10" s="2"/>
    </row>
    <row r="11" spans="2:10" ht="15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12" t="s">
        <v>377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>
      <c r="A13" s="1201" t="s">
        <v>374</v>
      </c>
      <c r="B13" s="1201">
        <v>289</v>
      </c>
      <c r="C13" s="1201">
        <v>291</v>
      </c>
      <c r="D13" s="1201">
        <v>290</v>
      </c>
      <c r="E13" s="1201">
        <v>289</v>
      </c>
      <c r="F13" s="1201">
        <v>299</v>
      </c>
      <c r="G13" s="2"/>
      <c r="H13" s="2"/>
      <c r="I13" s="2"/>
      <c r="J13" s="2"/>
    </row>
    <row r="14" spans="1:10" ht="18.75" customHeight="1">
      <c r="A14" s="1203" t="s">
        <v>182</v>
      </c>
      <c r="B14" s="1204">
        <v>126226</v>
      </c>
      <c r="C14" s="1204">
        <v>123562</v>
      </c>
      <c r="D14" s="1204">
        <v>121387</v>
      </c>
      <c r="E14" s="1204">
        <v>119310</v>
      </c>
      <c r="F14" s="1204">
        <v>119022</v>
      </c>
      <c r="G14" s="2"/>
      <c r="H14" s="2"/>
      <c r="I14" s="2"/>
      <c r="J14" s="2"/>
    </row>
    <row r="15" spans="1:10" ht="18.75" customHeight="1">
      <c r="A15" s="1203" t="s">
        <v>375</v>
      </c>
      <c r="B15" s="1204">
        <v>5741</v>
      </c>
      <c r="C15" s="1204">
        <v>5531</v>
      </c>
      <c r="D15" s="1204">
        <v>5598</v>
      </c>
      <c r="E15" s="1204">
        <v>5548</v>
      </c>
      <c r="F15" s="1204">
        <v>5299</v>
      </c>
      <c r="G15" s="2"/>
      <c r="H15" s="2"/>
      <c r="I15" s="2"/>
      <c r="J15" s="2"/>
    </row>
    <row r="16" spans="1:10" ht="18.75" customHeight="1">
      <c r="A16" s="1203" t="s">
        <v>426</v>
      </c>
      <c r="B16" s="1203">
        <v>102</v>
      </c>
      <c r="C16" s="1203">
        <v>102</v>
      </c>
      <c r="D16" s="1203">
        <v>102</v>
      </c>
      <c r="E16" s="1203">
        <v>101</v>
      </c>
      <c r="F16" s="1203">
        <v>101</v>
      </c>
      <c r="G16" s="2"/>
      <c r="H16" s="2"/>
      <c r="I16" s="2"/>
      <c r="J16" s="2"/>
    </row>
    <row r="17" spans="1:10" ht="18.75" customHeight="1">
      <c r="A17" s="1203" t="s">
        <v>376</v>
      </c>
      <c r="B17" s="1203">
        <v>29</v>
      </c>
      <c r="C17" s="1203">
        <v>30</v>
      </c>
      <c r="D17" s="1203">
        <v>29</v>
      </c>
      <c r="E17" s="1203">
        <v>28</v>
      </c>
      <c r="F17" s="1203">
        <v>29</v>
      </c>
      <c r="G17" s="2"/>
      <c r="H17" s="2"/>
      <c r="I17" s="2"/>
      <c r="J17" s="2"/>
    </row>
    <row r="18" spans="1:10" ht="18.75" customHeight="1">
      <c r="A18" s="1206" t="s">
        <v>440</v>
      </c>
      <c r="B18" s="1206">
        <v>79</v>
      </c>
      <c r="C18" s="1206">
        <v>81</v>
      </c>
      <c r="D18" s="1206">
        <v>84</v>
      </c>
      <c r="E18" s="1206">
        <v>81</v>
      </c>
      <c r="F18" s="1221" t="s">
        <v>378</v>
      </c>
      <c r="G18" s="2"/>
      <c r="H18" s="2"/>
      <c r="I18" s="2"/>
      <c r="J18" s="2"/>
    </row>
    <row r="19" spans="1:10" ht="18.75" customHeight="1">
      <c r="A19" s="1207" t="s">
        <v>442</v>
      </c>
      <c r="B19" s="1208">
        <v>63</v>
      </c>
      <c r="C19" s="1208">
        <v>64.9</v>
      </c>
      <c r="D19" s="1208">
        <v>67.9</v>
      </c>
      <c r="E19" s="1208">
        <v>66.2</v>
      </c>
      <c r="F19" s="1209" t="s">
        <v>378</v>
      </c>
      <c r="G19" s="2"/>
      <c r="H19" s="2"/>
      <c r="I19" s="2"/>
      <c r="J19" s="2"/>
    </row>
    <row r="20" spans="1:1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12" t="s">
        <v>379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8.75" customHeight="1">
      <c r="A22" s="1201" t="s">
        <v>374</v>
      </c>
      <c r="B22" s="1210">
        <f>176+13</f>
        <v>189</v>
      </c>
      <c r="C22" s="1210">
        <f>188+8</f>
        <v>196</v>
      </c>
      <c r="D22" s="1210">
        <f>189+7</f>
        <v>196</v>
      </c>
      <c r="E22" s="1201">
        <f>186+7</f>
        <v>193</v>
      </c>
      <c r="F22" s="1201">
        <f>180+7</f>
        <v>187</v>
      </c>
      <c r="G22" s="2"/>
      <c r="H22" s="2"/>
      <c r="I22" s="2"/>
      <c r="J22" s="2"/>
    </row>
    <row r="23" spans="1:10" ht="18.75" customHeight="1">
      <c r="A23" s="1203" t="s">
        <v>182</v>
      </c>
      <c r="B23" s="1204">
        <f>'[1]Republic'!$G$39+'[1]Republic'!$G$55</f>
        <v>114476</v>
      </c>
      <c r="C23" s="1204">
        <f>'[1]Republic'!$H$39+'[1]Republic'!$H$55</f>
        <v>120132</v>
      </c>
      <c r="D23" s="1204">
        <f>'[1]Republic'!$I$39+'[1]Republic'!$I$55</f>
        <v>125081</v>
      </c>
      <c r="E23" s="1204">
        <f>116706+9573</f>
        <v>126279</v>
      </c>
      <c r="F23" s="1204">
        <f>116503+8495</f>
        <v>124998</v>
      </c>
      <c r="G23" s="2"/>
      <c r="H23" s="2"/>
      <c r="I23" s="2"/>
      <c r="J23" s="2"/>
    </row>
    <row r="24" spans="1:10" ht="18.75" customHeight="1">
      <c r="A24" s="1203" t="s">
        <v>375</v>
      </c>
      <c r="B24" s="1204">
        <f>6396+578</f>
        <v>6974</v>
      </c>
      <c r="C24" s="1204">
        <f>6785+648</f>
        <v>7433</v>
      </c>
      <c r="D24" s="1204">
        <f>7079+682</f>
        <v>7761</v>
      </c>
      <c r="E24" s="1204">
        <f>7423+701</f>
        <v>8124</v>
      </c>
      <c r="F24" s="1204">
        <f>7408+645</f>
        <v>8053</v>
      </c>
      <c r="G24" s="2"/>
      <c r="H24" s="2"/>
      <c r="I24" s="2"/>
      <c r="J24" s="2"/>
    </row>
    <row r="25" spans="1:10" ht="18.75" customHeight="1">
      <c r="A25" s="1203" t="s">
        <v>426</v>
      </c>
      <c r="B25" s="1203">
        <v>71</v>
      </c>
      <c r="C25" s="1203">
        <v>73</v>
      </c>
      <c r="D25" s="1203">
        <v>75</v>
      </c>
      <c r="E25" s="1203">
        <v>74</v>
      </c>
      <c r="F25" s="1211">
        <f>F23/169978*100</f>
        <v>73.53775194436926</v>
      </c>
      <c r="G25" s="2"/>
      <c r="H25" s="2"/>
      <c r="I25" s="2"/>
      <c r="J25" s="2"/>
    </row>
    <row r="26" spans="1:10" ht="18.75" customHeight="1">
      <c r="A26" s="1206" t="s">
        <v>376</v>
      </c>
      <c r="B26" s="1212">
        <f>B23/B24</f>
        <v>16.414683108689417</v>
      </c>
      <c r="C26" s="1212">
        <f>C23/C24</f>
        <v>16.16198035786358</v>
      </c>
      <c r="D26" s="1212">
        <f>D23/D24</f>
        <v>16.11660868444788</v>
      </c>
      <c r="E26" s="1212">
        <f>E23/E24</f>
        <v>15.543943870014772</v>
      </c>
      <c r="F26" s="1212">
        <f>F23/F24</f>
        <v>15.521917297901403</v>
      </c>
      <c r="G26" s="2"/>
      <c r="H26" s="2"/>
      <c r="I26" s="2"/>
      <c r="J26" s="2"/>
    </row>
    <row r="27" spans="1:10" ht="17.25" customHeight="1">
      <c r="A27" s="1203" t="s">
        <v>444</v>
      </c>
      <c r="B27" s="1203">
        <v>77.5</v>
      </c>
      <c r="C27" s="1203">
        <v>78.4</v>
      </c>
      <c r="D27" s="1203">
        <v>78.9</v>
      </c>
      <c r="E27" s="1203">
        <v>76.7</v>
      </c>
      <c r="F27" s="1213" t="s">
        <v>378</v>
      </c>
      <c r="G27" s="2"/>
      <c r="H27" s="2"/>
      <c r="I27" s="2"/>
      <c r="J27" s="2"/>
    </row>
    <row r="28" spans="1:10" ht="18.75" customHeight="1">
      <c r="A28" s="1205" t="s">
        <v>443</v>
      </c>
      <c r="B28" s="1205">
        <v>76.2</v>
      </c>
      <c r="C28" s="1205">
        <v>78.2</v>
      </c>
      <c r="D28" s="1205">
        <v>79.3</v>
      </c>
      <c r="E28" s="1205">
        <v>77.8</v>
      </c>
      <c r="F28" s="1209" t="s">
        <v>378</v>
      </c>
      <c r="G28" s="2"/>
      <c r="H28" s="2"/>
      <c r="I28" s="2"/>
      <c r="J28" s="2"/>
    </row>
    <row r="29" spans="1:10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7.25">
      <c r="A30" s="12" t="s">
        <v>437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8.75" customHeight="1">
      <c r="A31" s="1201" t="s">
        <v>182</v>
      </c>
      <c r="B31" s="1202">
        <v>26074</v>
      </c>
      <c r="C31" s="1202">
        <v>28864</v>
      </c>
      <c r="D31" s="1202">
        <v>33230</v>
      </c>
      <c r="E31" s="1202">
        <v>35023</v>
      </c>
      <c r="F31" s="1214" t="s">
        <v>378</v>
      </c>
      <c r="G31" s="2"/>
      <c r="H31" s="2"/>
      <c r="I31" s="2"/>
      <c r="J31" s="2"/>
    </row>
    <row r="32" spans="1:10" ht="18.75" customHeight="1">
      <c r="A32" s="1205" t="s">
        <v>426</v>
      </c>
      <c r="B32" s="1215">
        <v>24</v>
      </c>
      <c r="C32" s="1215">
        <v>28</v>
      </c>
      <c r="D32" s="1215">
        <v>34</v>
      </c>
      <c r="E32" s="1215">
        <v>37</v>
      </c>
      <c r="F32" s="1216" t="s">
        <v>378</v>
      </c>
      <c r="G32" s="2"/>
      <c r="H32" s="2"/>
      <c r="I32" s="2"/>
      <c r="J32" s="2"/>
    </row>
    <row r="33" spans="1:10" ht="15.75" customHeight="1">
      <c r="A33" s="1217" t="s">
        <v>438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12" t="s">
        <v>380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29.25" customHeight="1">
      <c r="A36" s="1218" t="s">
        <v>445</v>
      </c>
      <c r="B36" s="1219">
        <v>6227.7</v>
      </c>
      <c r="C36" s="1219">
        <v>6819.8</v>
      </c>
      <c r="D36" s="1219">
        <v>6970.3</v>
      </c>
      <c r="E36" s="1219">
        <v>7099.3</v>
      </c>
      <c r="F36" s="1219">
        <v>7817.3</v>
      </c>
      <c r="G36" s="2"/>
      <c r="H36" s="2"/>
      <c r="I36" s="2"/>
      <c r="J36" s="2"/>
    </row>
    <row r="37" spans="1:10" ht="29.25" customHeight="1">
      <c r="A37" s="1220" t="s">
        <v>446</v>
      </c>
      <c r="B37" s="1203">
        <v>13.7</v>
      </c>
      <c r="C37" s="1203">
        <v>14.1</v>
      </c>
      <c r="D37" s="1511">
        <v>13</v>
      </c>
      <c r="E37" s="1203">
        <v>12.6</v>
      </c>
      <c r="F37" s="1203">
        <v>12.7</v>
      </c>
      <c r="G37" s="2"/>
      <c r="H37" s="2"/>
      <c r="I37" s="2"/>
      <c r="J37" s="2"/>
    </row>
    <row r="38" spans="1:10" ht="30">
      <c r="A38" s="1510" t="s">
        <v>447</v>
      </c>
      <c r="B38" s="1215">
        <v>3.8</v>
      </c>
      <c r="C38" s="1215">
        <v>3.8</v>
      </c>
      <c r="D38" s="1215">
        <v>3.6</v>
      </c>
      <c r="E38" s="1215">
        <v>3.2</v>
      </c>
      <c r="F38" s="1215">
        <v>3.2</v>
      </c>
      <c r="G38" s="2"/>
      <c r="H38" s="2"/>
      <c r="I38" s="2"/>
      <c r="J38" s="2"/>
    </row>
    <row r="39" spans="7:10" ht="31.5" customHeight="1">
      <c r="G39" s="2"/>
      <c r="H39" s="2"/>
      <c r="I39" s="2"/>
      <c r="J39" s="2"/>
    </row>
    <row r="40" spans="1:10" ht="18.75" customHeight="1">
      <c r="A40" s="393" t="s">
        <v>381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</sheetData>
  <printOptions/>
  <pageMargins left="0.75" right="0.25" top="0.5" bottom="0.25" header="0.31" footer="0.24"/>
  <pageSetup horizontalDpi="300" verticalDpi="300" orientation="portrait" paperSize="9" r:id="rId1"/>
  <headerFooter alignWithMargins="0">
    <oddHeader>&amp;C- 7 -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2.75"/>
  <cols>
    <col min="1" max="1" width="24.57421875" style="494" customWidth="1"/>
    <col min="2" max="2" width="2.00390625" style="494" customWidth="1"/>
    <col min="3" max="4" width="8.57421875" style="557" customWidth="1"/>
    <col min="5" max="5" width="8.28125" style="557" customWidth="1"/>
    <col min="6" max="6" width="8.421875" style="557" customWidth="1"/>
    <col min="7" max="7" width="8.140625" style="557" customWidth="1"/>
    <col min="8" max="9" width="8.421875" style="557" customWidth="1"/>
    <col min="10" max="10" width="8.140625" style="557" customWidth="1"/>
    <col min="11" max="11" width="8.00390625" style="494" customWidth="1"/>
    <col min="41" max="16384" width="9.140625" style="494" customWidth="1"/>
  </cols>
  <sheetData>
    <row r="1" spans="1:40" s="492" customFormat="1" ht="26.25" customHeight="1">
      <c r="A1" s="492" t="s">
        <v>393</v>
      </c>
      <c r="C1" s="556"/>
      <c r="D1" s="556"/>
      <c r="E1" s="556"/>
      <c r="F1" s="556"/>
      <c r="G1" s="556"/>
      <c r="H1" s="556"/>
      <c r="I1" s="556"/>
      <c r="J1" s="556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</row>
    <row r="2" ht="17.25" customHeight="1"/>
    <row r="3" spans="1:40" s="500" customFormat="1" ht="28.5" customHeight="1">
      <c r="A3" s="1226" t="s">
        <v>17</v>
      </c>
      <c r="B3" s="1260"/>
      <c r="C3" s="1405" t="s">
        <v>82</v>
      </c>
      <c r="D3" s="1406"/>
      <c r="E3" s="1407"/>
      <c r="F3" s="1405" t="s">
        <v>180</v>
      </c>
      <c r="G3" s="1406"/>
      <c r="H3" s="1407"/>
      <c r="I3" s="1405" t="s">
        <v>181</v>
      </c>
      <c r="J3" s="1406"/>
      <c r="K3" s="1407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</row>
    <row r="4" spans="1:40" s="500" customFormat="1" ht="27.75" customHeight="1">
      <c r="A4" s="1264"/>
      <c r="B4" s="1266"/>
      <c r="C4" s="558" t="s">
        <v>5</v>
      </c>
      <c r="D4" s="560" t="s">
        <v>47</v>
      </c>
      <c r="E4" s="561" t="s">
        <v>48</v>
      </c>
      <c r="F4" s="558" t="s">
        <v>5</v>
      </c>
      <c r="G4" s="560" t="s">
        <v>47</v>
      </c>
      <c r="H4" s="559" t="s">
        <v>48</v>
      </c>
      <c r="I4" s="558" t="s">
        <v>5</v>
      </c>
      <c r="J4" s="560" t="s">
        <v>47</v>
      </c>
      <c r="K4" s="559" t="s">
        <v>48</v>
      </c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</row>
    <row r="5" spans="1:40" s="500" customFormat="1" ht="24.75" customHeight="1">
      <c r="A5" s="515" t="s">
        <v>63</v>
      </c>
      <c r="B5" s="506"/>
      <c r="C5" s="689">
        <f>F5+I5</f>
        <v>1065</v>
      </c>
      <c r="D5" s="690">
        <f>G5+J5</f>
        <v>587</v>
      </c>
      <c r="E5" s="691">
        <f>H5+K5</f>
        <v>478</v>
      </c>
      <c r="F5" s="689">
        <f>G5+H5</f>
        <v>348</v>
      </c>
      <c r="G5" s="692">
        <v>192</v>
      </c>
      <c r="H5" s="691">
        <v>156</v>
      </c>
      <c r="I5" s="689">
        <f>J5+K5</f>
        <v>717</v>
      </c>
      <c r="J5" s="692">
        <v>395</v>
      </c>
      <c r="K5" s="693">
        <v>322</v>
      </c>
      <c r="L5" s="499"/>
      <c r="M5" s="521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</row>
    <row r="6" spans="1:40" s="500" customFormat="1" ht="24.75" customHeight="1">
      <c r="A6" s="515" t="s">
        <v>64</v>
      </c>
      <c r="B6" s="506"/>
      <c r="C6" s="689">
        <f aca="true" t="shared" si="0" ref="C6:C13">F6+I6</f>
        <v>895</v>
      </c>
      <c r="D6" s="692">
        <f aca="true" t="shared" si="1" ref="D6:D13">G6+J6</f>
        <v>582</v>
      </c>
      <c r="E6" s="691">
        <f aca="true" t="shared" si="2" ref="E6:E13">H6+K6</f>
        <v>313</v>
      </c>
      <c r="F6" s="689">
        <f aca="true" t="shared" si="3" ref="F6:F16">G6+H6</f>
        <v>382</v>
      </c>
      <c r="G6" s="692">
        <v>293</v>
      </c>
      <c r="H6" s="691">
        <v>89</v>
      </c>
      <c r="I6" s="689">
        <f aca="true" t="shared" si="4" ref="I6:I16">J6+K6</f>
        <v>513</v>
      </c>
      <c r="J6" s="692">
        <v>289</v>
      </c>
      <c r="K6" s="693">
        <v>224</v>
      </c>
      <c r="L6" s="499"/>
      <c r="M6" s="521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</row>
    <row r="7" spans="1:40" s="500" customFormat="1" ht="24.75" customHeight="1">
      <c r="A7" s="515" t="s">
        <v>66</v>
      </c>
      <c r="B7" s="506"/>
      <c r="C7" s="689">
        <f t="shared" si="0"/>
        <v>838</v>
      </c>
      <c r="D7" s="692">
        <f t="shared" si="1"/>
        <v>592</v>
      </c>
      <c r="E7" s="691">
        <f t="shared" si="2"/>
        <v>246</v>
      </c>
      <c r="F7" s="689">
        <f t="shared" si="3"/>
        <v>413</v>
      </c>
      <c r="G7" s="692">
        <v>312</v>
      </c>
      <c r="H7" s="691">
        <v>101</v>
      </c>
      <c r="I7" s="689">
        <f t="shared" si="4"/>
        <v>425</v>
      </c>
      <c r="J7" s="692">
        <v>280</v>
      </c>
      <c r="K7" s="693">
        <v>145</v>
      </c>
      <c r="L7" s="499"/>
      <c r="M7" s="521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499"/>
      <c r="AN7" s="499"/>
    </row>
    <row r="8" spans="1:40" s="500" customFormat="1" ht="24.75" customHeight="1">
      <c r="A8" s="515" t="s">
        <v>67</v>
      </c>
      <c r="B8" s="506"/>
      <c r="C8" s="689">
        <f t="shared" si="0"/>
        <v>928</v>
      </c>
      <c r="D8" s="692">
        <f t="shared" si="1"/>
        <v>633</v>
      </c>
      <c r="E8" s="691">
        <f t="shared" si="2"/>
        <v>295</v>
      </c>
      <c r="F8" s="689">
        <f t="shared" si="3"/>
        <v>289</v>
      </c>
      <c r="G8" s="692">
        <v>151</v>
      </c>
      <c r="H8" s="691">
        <v>138</v>
      </c>
      <c r="I8" s="689">
        <f t="shared" si="4"/>
        <v>639</v>
      </c>
      <c r="J8" s="692">
        <v>482</v>
      </c>
      <c r="K8" s="693">
        <v>157</v>
      </c>
      <c r="L8" s="499"/>
      <c r="M8" s="521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</row>
    <row r="9" spans="1:40" s="500" customFormat="1" ht="24.75" customHeight="1">
      <c r="A9" s="515" t="s">
        <v>68</v>
      </c>
      <c r="B9" s="506"/>
      <c r="C9" s="689">
        <f t="shared" si="0"/>
        <v>769</v>
      </c>
      <c r="D9" s="692">
        <f t="shared" si="1"/>
        <v>528</v>
      </c>
      <c r="E9" s="691">
        <f t="shared" si="2"/>
        <v>241</v>
      </c>
      <c r="F9" s="689">
        <f t="shared" si="3"/>
        <v>208</v>
      </c>
      <c r="G9" s="692">
        <v>171</v>
      </c>
      <c r="H9" s="691">
        <v>37</v>
      </c>
      <c r="I9" s="689">
        <f t="shared" si="4"/>
        <v>561</v>
      </c>
      <c r="J9" s="692">
        <v>357</v>
      </c>
      <c r="K9" s="693">
        <v>204</v>
      </c>
      <c r="L9" s="499"/>
      <c r="M9" s="521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</row>
    <row r="10" spans="1:40" s="500" customFormat="1" ht="24.75" customHeight="1">
      <c r="A10" s="515" t="s">
        <v>69</v>
      </c>
      <c r="B10" s="506"/>
      <c r="C10" s="689">
        <f t="shared" si="0"/>
        <v>454</v>
      </c>
      <c r="D10" s="692">
        <f t="shared" si="1"/>
        <v>310</v>
      </c>
      <c r="E10" s="691">
        <f t="shared" si="2"/>
        <v>144</v>
      </c>
      <c r="F10" s="689">
        <f t="shared" si="3"/>
        <v>40</v>
      </c>
      <c r="G10" s="692">
        <v>28</v>
      </c>
      <c r="H10" s="691">
        <v>12</v>
      </c>
      <c r="I10" s="689">
        <f t="shared" si="4"/>
        <v>414</v>
      </c>
      <c r="J10" s="692">
        <v>282</v>
      </c>
      <c r="K10" s="693">
        <v>132</v>
      </c>
      <c r="L10" s="499"/>
      <c r="M10" s="521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</row>
    <row r="11" spans="1:40" s="500" customFormat="1" ht="24.75" customHeight="1">
      <c r="A11" s="515" t="s">
        <v>70</v>
      </c>
      <c r="B11" s="506"/>
      <c r="C11" s="689">
        <f t="shared" si="0"/>
        <v>2200</v>
      </c>
      <c r="D11" s="692">
        <f t="shared" si="1"/>
        <v>1402</v>
      </c>
      <c r="E11" s="691">
        <f t="shared" si="2"/>
        <v>798</v>
      </c>
      <c r="F11" s="689">
        <f t="shared" si="3"/>
        <v>695</v>
      </c>
      <c r="G11" s="692">
        <v>580</v>
      </c>
      <c r="H11" s="691">
        <v>115</v>
      </c>
      <c r="I11" s="689">
        <f t="shared" si="4"/>
        <v>1505</v>
      </c>
      <c r="J11" s="692">
        <v>822</v>
      </c>
      <c r="K11" s="693">
        <v>683</v>
      </c>
      <c r="L11" s="499"/>
      <c r="M11" s="521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</row>
    <row r="12" spans="1:40" s="500" customFormat="1" ht="24.75" customHeight="1">
      <c r="A12" s="515" t="s">
        <v>71</v>
      </c>
      <c r="B12" s="506"/>
      <c r="C12" s="689">
        <f t="shared" si="0"/>
        <v>492</v>
      </c>
      <c r="D12" s="692">
        <f t="shared" si="1"/>
        <v>226</v>
      </c>
      <c r="E12" s="691">
        <f t="shared" si="2"/>
        <v>266</v>
      </c>
      <c r="F12" s="689">
        <f t="shared" si="3"/>
        <v>293</v>
      </c>
      <c r="G12" s="692">
        <v>109</v>
      </c>
      <c r="H12" s="691">
        <v>184</v>
      </c>
      <c r="I12" s="689">
        <f t="shared" si="4"/>
        <v>199</v>
      </c>
      <c r="J12" s="692">
        <v>117</v>
      </c>
      <c r="K12" s="693">
        <v>82</v>
      </c>
      <c r="L12" s="499"/>
      <c r="M12" s="521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</row>
    <row r="13" spans="1:40" s="500" customFormat="1" ht="24.75" customHeight="1">
      <c r="A13" s="515" t="s">
        <v>72</v>
      </c>
      <c r="B13" s="506"/>
      <c r="C13" s="689">
        <f t="shared" si="0"/>
        <v>370</v>
      </c>
      <c r="D13" s="692">
        <f t="shared" si="1"/>
        <v>193</v>
      </c>
      <c r="E13" s="691">
        <f t="shared" si="2"/>
        <v>177</v>
      </c>
      <c r="F13" s="689">
        <f t="shared" si="3"/>
        <v>194</v>
      </c>
      <c r="G13" s="692">
        <v>99</v>
      </c>
      <c r="H13" s="691">
        <v>95</v>
      </c>
      <c r="I13" s="689">
        <f t="shared" si="4"/>
        <v>176</v>
      </c>
      <c r="J13" s="692">
        <v>94</v>
      </c>
      <c r="K13" s="693">
        <v>82</v>
      </c>
      <c r="L13" s="499"/>
      <c r="M13" s="521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</row>
    <row r="14" spans="1:40" s="500" customFormat="1" ht="24.75" customHeight="1">
      <c r="A14" s="495" t="s">
        <v>73</v>
      </c>
      <c r="B14" s="496"/>
      <c r="C14" s="694">
        <f aca="true" t="shared" si="5" ref="C14:E16">F14+I14</f>
        <v>8011</v>
      </c>
      <c r="D14" s="690">
        <f t="shared" si="5"/>
        <v>5053</v>
      </c>
      <c r="E14" s="695">
        <f t="shared" si="5"/>
        <v>2958</v>
      </c>
      <c r="F14" s="694">
        <f t="shared" si="3"/>
        <v>2862</v>
      </c>
      <c r="G14" s="690">
        <f>SUM(G5:G13)</f>
        <v>1935</v>
      </c>
      <c r="H14" s="695">
        <f>SUM(H5:H13)</f>
        <v>927</v>
      </c>
      <c r="I14" s="694">
        <f t="shared" si="4"/>
        <v>5149</v>
      </c>
      <c r="J14" s="690">
        <f>SUM(J5:J13)</f>
        <v>3118</v>
      </c>
      <c r="K14" s="696">
        <f>SUM(K5:K13)</f>
        <v>2031</v>
      </c>
      <c r="L14" s="499"/>
      <c r="M14" s="521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</row>
    <row r="15" spans="1:40" s="500" customFormat="1" ht="24.75" customHeight="1">
      <c r="A15" s="515" t="s">
        <v>74</v>
      </c>
      <c r="B15" s="506"/>
      <c r="C15" s="697">
        <f>SUM(F15,I15)</f>
        <v>484</v>
      </c>
      <c r="D15" s="698">
        <f>SUM(G15,J15)</f>
        <v>283</v>
      </c>
      <c r="E15" s="699">
        <f>SUM(H15,K15)</f>
        <v>201</v>
      </c>
      <c r="F15" s="700" t="s">
        <v>40</v>
      </c>
      <c r="G15" s="701" t="s">
        <v>40</v>
      </c>
      <c r="H15" s="702" t="s">
        <v>40</v>
      </c>
      <c r="I15" s="697">
        <f t="shared" si="4"/>
        <v>484</v>
      </c>
      <c r="J15" s="698">
        <v>283</v>
      </c>
      <c r="K15" s="703">
        <v>201</v>
      </c>
      <c r="L15" s="499"/>
      <c r="M15" s="521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</row>
    <row r="16" spans="1:40" s="500" customFormat="1" ht="24.75" customHeight="1">
      <c r="A16" s="535" t="s">
        <v>75</v>
      </c>
      <c r="B16" s="536"/>
      <c r="C16" s="704">
        <f t="shared" si="5"/>
        <v>8495</v>
      </c>
      <c r="D16" s="705">
        <f t="shared" si="5"/>
        <v>5336</v>
      </c>
      <c r="E16" s="706">
        <f t="shared" si="5"/>
        <v>3159</v>
      </c>
      <c r="F16" s="704">
        <f t="shared" si="3"/>
        <v>2862</v>
      </c>
      <c r="G16" s="705">
        <f>SUM(G14:G15)</f>
        <v>1935</v>
      </c>
      <c r="H16" s="706">
        <f>SUM(H14:H15)</f>
        <v>927</v>
      </c>
      <c r="I16" s="704">
        <f t="shared" si="4"/>
        <v>5633</v>
      </c>
      <c r="J16" s="705">
        <f>SUM(J14:J15)</f>
        <v>3401</v>
      </c>
      <c r="K16" s="707">
        <f>SUM(K14:K15)</f>
        <v>2232</v>
      </c>
      <c r="L16" s="499"/>
      <c r="M16" s="521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</row>
    <row r="17" spans="3:40" s="500" customFormat="1" ht="18.75" customHeight="1">
      <c r="C17" s="708"/>
      <c r="D17" s="708"/>
      <c r="E17" s="708"/>
      <c r="F17" s="695"/>
      <c r="G17" s="695"/>
      <c r="H17" s="695"/>
      <c r="I17" s="695"/>
      <c r="J17" s="695"/>
      <c r="K17" s="695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</row>
    <row r="18" spans="1:40" s="492" customFormat="1" ht="26.25" customHeight="1">
      <c r="A18" s="492" t="s">
        <v>394</v>
      </c>
      <c r="C18" s="556"/>
      <c r="D18" s="556"/>
      <c r="E18" s="556"/>
      <c r="F18" s="689"/>
      <c r="G18" s="691"/>
      <c r="H18" s="691"/>
      <c r="I18" s="691"/>
      <c r="J18" s="691"/>
      <c r="K18" s="691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</row>
    <row r="19" spans="3:40" s="500" customFormat="1" ht="13.5" customHeight="1">
      <c r="C19" s="708"/>
      <c r="D19" s="708"/>
      <c r="E19" s="708"/>
      <c r="F19" s="699"/>
      <c r="G19" s="691"/>
      <c r="H19" s="691"/>
      <c r="I19" s="691"/>
      <c r="J19" s="691"/>
      <c r="K19" s="691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</row>
    <row r="20" spans="1:40" s="500" customFormat="1" ht="30" customHeight="1">
      <c r="A20" s="1226" t="s">
        <v>34</v>
      </c>
      <c r="B20" s="1260"/>
      <c r="C20" s="1412" t="s">
        <v>82</v>
      </c>
      <c r="D20" s="1413"/>
      <c r="E20" s="1414"/>
      <c r="F20" s="1412" t="s">
        <v>180</v>
      </c>
      <c r="G20" s="1413"/>
      <c r="H20" s="1414"/>
      <c r="I20" s="1412" t="s">
        <v>181</v>
      </c>
      <c r="J20" s="1413"/>
      <c r="K20" s="1414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</row>
    <row r="21" spans="1:40" s="500" customFormat="1" ht="25.5" customHeight="1">
      <c r="A21" s="1264"/>
      <c r="B21" s="1266"/>
      <c r="C21" s="558" t="s">
        <v>5</v>
      </c>
      <c r="D21" s="560" t="s">
        <v>47</v>
      </c>
      <c r="E21" s="561" t="s">
        <v>48</v>
      </c>
      <c r="F21" s="558" t="s">
        <v>5</v>
      </c>
      <c r="G21" s="560" t="s">
        <v>47</v>
      </c>
      <c r="H21" s="559" t="s">
        <v>48</v>
      </c>
      <c r="I21" s="558" t="s">
        <v>5</v>
      </c>
      <c r="J21" s="560" t="s">
        <v>47</v>
      </c>
      <c r="K21" s="559" t="s">
        <v>48</v>
      </c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</row>
    <row r="22" spans="1:40" s="500" customFormat="1" ht="28.5" customHeight="1">
      <c r="A22" s="515" t="s">
        <v>35</v>
      </c>
      <c r="B22" s="506"/>
      <c r="C22" s="689">
        <f aca="true" t="shared" si="6" ref="C22:E27">F22+I22</f>
        <v>2850</v>
      </c>
      <c r="D22" s="692">
        <f t="shared" si="6"/>
        <v>1761</v>
      </c>
      <c r="E22" s="691">
        <f t="shared" si="6"/>
        <v>1089</v>
      </c>
      <c r="F22" s="689">
        <f aca="true" t="shared" si="7" ref="F22:F27">G22+H22</f>
        <v>1195</v>
      </c>
      <c r="G22" s="692">
        <v>797</v>
      </c>
      <c r="H22" s="691">
        <v>398</v>
      </c>
      <c r="I22" s="689">
        <f aca="true" t="shared" si="8" ref="I22:I27">J22+K22</f>
        <v>1655</v>
      </c>
      <c r="J22" s="692">
        <v>964</v>
      </c>
      <c r="K22" s="693">
        <v>691</v>
      </c>
      <c r="L22" s="499"/>
      <c r="M22" s="543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</row>
    <row r="23" spans="1:40" s="500" customFormat="1" ht="28.5" customHeight="1">
      <c r="A23" s="1395" t="s">
        <v>36</v>
      </c>
      <c r="B23" s="1396"/>
      <c r="C23" s="689">
        <f t="shared" si="6"/>
        <v>2259</v>
      </c>
      <c r="D23" s="692">
        <f t="shared" si="6"/>
        <v>1458</v>
      </c>
      <c r="E23" s="691">
        <f t="shared" si="6"/>
        <v>801</v>
      </c>
      <c r="F23" s="689">
        <f t="shared" si="7"/>
        <v>841</v>
      </c>
      <c r="G23" s="692">
        <v>544</v>
      </c>
      <c r="H23" s="691">
        <v>297</v>
      </c>
      <c r="I23" s="689">
        <f t="shared" si="8"/>
        <v>1418</v>
      </c>
      <c r="J23" s="692">
        <v>914</v>
      </c>
      <c r="K23" s="693">
        <v>504</v>
      </c>
      <c r="L23" s="499"/>
      <c r="M23" s="543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</row>
    <row r="24" spans="1:40" s="500" customFormat="1" ht="28.5" customHeight="1">
      <c r="A24" s="515" t="s">
        <v>37</v>
      </c>
      <c r="B24" s="506"/>
      <c r="C24" s="689">
        <f t="shared" si="6"/>
        <v>1685</v>
      </c>
      <c r="D24" s="692">
        <f t="shared" si="6"/>
        <v>1083</v>
      </c>
      <c r="E24" s="691">
        <f t="shared" si="6"/>
        <v>602</v>
      </c>
      <c r="F24" s="689">
        <f t="shared" si="7"/>
        <v>335</v>
      </c>
      <c r="G24" s="692">
        <v>286</v>
      </c>
      <c r="H24" s="691">
        <v>49</v>
      </c>
      <c r="I24" s="689">
        <f t="shared" si="8"/>
        <v>1350</v>
      </c>
      <c r="J24" s="692">
        <v>797</v>
      </c>
      <c r="K24" s="693">
        <v>553</v>
      </c>
      <c r="L24" s="499"/>
      <c r="M24" s="543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</row>
    <row r="25" spans="1:40" s="500" customFormat="1" ht="27.75" customHeight="1">
      <c r="A25" s="515" t="s">
        <v>55</v>
      </c>
      <c r="B25" s="545"/>
      <c r="C25" s="689">
        <f t="shared" si="6"/>
        <v>1217</v>
      </c>
      <c r="D25" s="692">
        <f t="shared" si="6"/>
        <v>751</v>
      </c>
      <c r="E25" s="691">
        <f t="shared" si="6"/>
        <v>466</v>
      </c>
      <c r="F25" s="689">
        <f t="shared" si="7"/>
        <v>491</v>
      </c>
      <c r="G25" s="692">
        <v>308</v>
      </c>
      <c r="H25" s="691">
        <v>183</v>
      </c>
      <c r="I25" s="689">
        <f t="shared" si="8"/>
        <v>726</v>
      </c>
      <c r="J25" s="692">
        <v>443</v>
      </c>
      <c r="K25" s="693">
        <v>283</v>
      </c>
      <c r="L25" s="499"/>
      <c r="M25" s="543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</row>
    <row r="26" spans="1:40" s="500" customFormat="1" ht="29.25" customHeight="1">
      <c r="A26" s="515" t="s">
        <v>39</v>
      </c>
      <c r="B26" s="506"/>
      <c r="C26" s="689">
        <f>SUM(F26,I26)</f>
        <v>484</v>
      </c>
      <c r="D26" s="692">
        <f>SUM(G26,J26)</f>
        <v>283</v>
      </c>
      <c r="E26" s="691">
        <f>SUM(H26,K26)</f>
        <v>201</v>
      </c>
      <c r="F26" s="700" t="s">
        <v>40</v>
      </c>
      <c r="G26" s="701" t="s">
        <v>40</v>
      </c>
      <c r="H26" s="702" t="s">
        <v>40</v>
      </c>
      <c r="I26" s="689">
        <f t="shared" si="8"/>
        <v>484</v>
      </c>
      <c r="J26" s="692">
        <v>283</v>
      </c>
      <c r="K26" s="693">
        <v>201</v>
      </c>
      <c r="L26" s="499"/>
      <c r="M26" s="543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</row>
    <row r="27" spans="1:40" s="500" customFormat="1" ht="36" customHeight="1">
      <c r="A27" s="535" t="s">
        <v>56</v>
      </c>
      <c r="B27" s="536"/>
      <c r="C27" s="704">
        <f t="shared" si="6"/>
        <v>8495</v>
      </c>
      <c r="D27" s="705">
        <f t="shared" si="6"/>
        <v>5336</v>
      </c>
      <c r="E27" s="706">
        <f t="shared" si="6"/>
        <v>3159</v>
      </c>
      <c r="F27" s="704">
        <f t="shared" si="7"/>
        <v>2862</v>
      </c>
      <c r="G27" s="705">
        <f>SUM(G22:G26)</f>
        <v>1935</v>
      </c>
      <c r="H27" s="706">
        <f>SUM(H22:H26)</f>
        <v>927</v>
      </c>
      <c r="I27" s="704">
        <f t="shared" si="8"/>
        <v>5633</v>
      </c>
      <c r="J27" s="705">
        <f>SUM(J22:J26)</f>
        <v>3401</v>
      </c>
      <c r="K27" s="707">
        <f>SUM(K22:K26)</f>
        <v>2232</v>
      </c>
      <c r="L27" s="499"/>
      <c r="M27" s="543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</row>
    <row r="28" ht="17.25" customHeight="1">
      <c r="A28" s="551"/>
    </row>
    <row r="29" spans="1:11" s="585" customFormat="1" ht="18.75" customHeight="1">
      <c r="A29" s="1411" t="s">
        <v>287</v>
      </c>
      <c r="B29" s="1411"/>
      <c r="C29" s="1411"/>
      <c r="D29" s="1411"/>
      <c r="E29" s="1411"/>
      <c r="F29" s="1411"/>
      <c r="G29" s="1411"/>
      <c r="H29" s="1411"/>
      <c r="I29" s="1411"/>
      <c r="J29" s="1411"/>
      <c r="K29" s="1411"/>
    </row>
    <row r="30" spans="1:11" s="585" customFormat="1" ht="18" customHeight="1">
      <c r="A30" s="586"/>
      <c r="B30" s="586"/>
      <c r="C30" s="587"/>
      <c r="D30" s="587"/>
      <c r="E30" s="587"/>
      <c r="F30" s="587"/>
      <c r="G30" s="587"/>
      <c r="H30" s="587"/>
      <c r="I30" s="587"/>
      <c r="J30" s="587"/>
      <c r="K30" s="588"/>
    </row>
  </sheetData>
  <mergeCells count="10">
    <mergeCell ref="A29:K29"/>
    <mergeCell ref="A23:B23"/>
    <mergeCell ref="C3:E3"/>
    <mergeCell ref="F3:H3"/>
    <mergeCell ref="I3:K3"/>
    <mergeCell ref="A3:B4"/>
    <mergeCell ref="F20:H20"/>
    <mergeCell ref="I20:K20"/>
    <mergeCell ref="A20:B21"/>
    <mergeCell ref="C20:E20"/>
  </mergeCells>
  <printOptions horizontalCentered="1"/>
  <pageMargins left="0.25" right="0.2" top="0.75" bottom="0.25" header="0.5" footer="0.25"/>
  <pageSetup horizontalDpi="300" verticalDpi="300" orientation="portrait" paperSize="9" r:id="rId1"/>
  <headerFooter alignWithMargins="0">
    <oddHeader>&amp;C&amp;"Times New Roman,Regular"&amp;11- 25 -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J1">
      <selection activeCell="P11" sqref="P11"/>
    </sheetView>
  </sheetViews>
  <sheetFormatPr defaultColWidth="9.140625" defaultRowHeight="12.75"/>
  <cols>
    <col min="1" max="1" width="0.71875" style="2" customWidth="1"/>
    <col min="2" max="2" width="33.421875" style="2" customWidth="1"/>
    <col min="3" max="8" width="7.8515625" style="2" customWidth="1"/>
    <col min="9" max="9" width="8.00390625" style="2" customWidth="1"/>
    <col min="10" max="10" width="8.140625" style="2" customWidth="1"/>
    <col min="11" max="11" width="7.8515625" style="2" customWidth="1"/>
    <col min="12" max="14" width="8.57421875" style="2" customWidth="1"/>
    <col min="15" max="15" width="9.140625" style="396" customWidth="1"/>
    <col min="16" max="16" width="3.00390625" style="2" customWidth="1"/>
    <col min="17" max="17" width="4.421875" style="2" customWidth="1"/>
    <col min="18" max="18" width="4.57421875" style="2" customWidth="1"/>
    <col min="19" max="16384" width="9.140625" style="2" customWidth="1"/>
  </cols>
  <sheetData>
    <row r="1" spans="1:15" ht="19.5" customHeight="1">
      <c r="A1" s="55" t="s">
        <v>391</v>
      </c>
      <c r="O1" s="499"/>
    </row>
    <row r="2" spans="2:15" ht="15" customHeight="1">
      <c r="B2" s="12"/>
      <c r="O2" s="499"/>
    </row>
    <row r="3" spans="1:15" ht="15" customHeight="1">
      <c r="A3" s="1226" t="s">
        <v>17</v>
      </c>
      <c r="B3" s="1260"/>
      <c r="C3" s="1244" t="s">
        <v>182</v>
      </c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45"/>
      <c r="O3" s="460"/>
    </row>
    <row r="4" spans="1:15" ht="15" customHeight="1">
      <c r="A4" s="1261"/>
      <c r="B4" s="1263"/>
      <c r="C4" s="1244" t="s">
        <v>183</v>
      </c>
      <c r="D4" s="1267"/>
      <c r="E4" s="1245"/>
      <c r="F4" s="1244" t="s">
        <v>184</v>
      </c>
      <c r="G4" s="1267"/>
      <c r="H4" s="1245"/>
      <c r="I4" s="1267" t="s">
        <v>185</v>
      </c>
      <c r="J4" s="1267"/>
      <c r="K4" s="1245"/>
      <c r="L4" s="1244" t="s">
        <v>5</v>
      </c>
      <c r="M4" s="1267"/>
      <c r="N4" s="1245"/>
      <c r="O4" s="709"/>
    </row>
    <row r="5" spans="1:15" ht="15" customHeight="1">
      <c r="A5" s="1264"/>
      <c r="B5" s="1266"/>
      <c r="C5" s="8" t="s">
        <v>5</v>
      </c>
      <c r="D5" s="710" t="s">
        <v>47</v>
      </c>
      <c r="E5" s="9" t="s">
        <v>48</v>
      </c>
      <c r="F5" s="8" t="s">
        <v>5</v>
      </c>
      <c r="G5" s="710" t="s">
        <v>47</v>
      </c>
      <c r="H5" s="9" t="s">
        <v>48</v>
      </c>
      <c r="I5" s="8" t="s">
        <v>5</v>
      </c>
      <c r="J5" s="710" t="s">
        <v>47</v>
      </c>
      <c r="K5" s="9" t="s">
        <v>48</v>
      </c>
      <c r="L5" s="8" t="s">
        <v>5</v>
      </c>
      <c r="M5" s="710" t="s">
        <v>47</v>
      </c>
      <c r="N5" s="9" t="s">
        <v>48</v>
      </c>
      <c r="O5" s="709"/>
    </row>
    <row r="6" spans="1:15" ht="16.5" customHeight="1">
      <c r="A6" s="6"/>
      <c r="B6" s="711" t="s">
        <v>202</v>
      </c>
      <c r="C6" s="712">
        <f>D6+E6</f>
        <v>368</v>
      </c>
      <c r="D6" s="713">
        <v>193</v>
      </c>
      <c r="E6" s="714">
        <v>175</v>
      </c>
      <c r="F6" s="712">
        <f>G6+H6</f>
        <v>380</v>
      </c>
      <c r="G6" s="713">
        <v>219</v>
      </c>
      <c r="H6" s="714">
        <v>161</v>
      </c>
      <c r="I6" s="715">
        <f aca="true" t="shared" si="0" ref="I6:I14">J6+K6</f>
        <v>317</v>
      </c>
      <c r="J6" s="713">
        <v>175</v>
      </c>
      <c r="K6" s="714">
        <v>142</v>
      </c>
      <c r="L6" s="716">
        <f>C6+F6+I6</f>
        <v>1065</v>
      </c>
      <c r="M6" s="717">
        <f>D6+G6+J6</f>
        <v>587</v>
      </c>
      <c r="N6" s="718">
        <f>E6+H6+K6</f>
        <v>478</v>
      </c>
      <c r="O6" s="709"/>
    </row>
    <row r="7" spans="1:15" ht="16.5" customHeight="1">
      <c r="A7" s="13"/>
      <c r="B7" s="711" t="s">
        <v>186</v>
      </c>
      <c r="C7" s="712">
        <f aca="true" t="shared" si="1" ref="C7:C14">D7+E7</f>
        <v>320</v>
      </c>
      <c r="D7" s="713">
        <v>203</v>
      </c>
      <c r="E7" s="714">
        <v>117</v>
      </c>
      <c r="F7" s="712">
        <f aca="true" t="shared" si="2" ref="F7:F14">G7+H7</f>
        <v>302</v>
      </c>
      <c r="G7" s="713">
        <v>195</v>
      </c>
      <c r="H7" s="714">
        <v>107</v>
      </c>
      <c r="I7" s="715">
        <f t="shared" si="0"/>
        <v>273</v>
      </c>
      <c r="J7" s="713">
        <v>184</v>
      </c>
      <c r="K7" s="714">
        <v>89</v>
      </c>
      <c r="L7" s="712">
        <f aca="true" t="shared" si="3" ref="L7:L14">C7+F7+I7</f>
        <v>895</v>
      </c>
      <c r="M7" s="713">
        <f aca="true" t="shared" si="4" ref="M7:M14">D7+G7+J7</f>
        <v>582</v>
      </c>
      <c r="N7" s="714">
        <f aca="true" t="shared" si="5" ref="N7:N14">E7+H7+K7</f>
        <v>313</v>
      </c>
      <c r="O7" s="709"/>
    </row>
    <row r="8" spans="1:15" ht="16.5" customHeight="1">
      <c r="A8" s="13"/>
      <c r="B8" s="711" t="s">
        <v>187</v>
      </c>
      <c r="C8" s="712">
        <f t="shared" si="1"/>
        <v>335</v>
      </c>
      <c r="D8" s="713">
        <v>247</v>
      </c>
      <c r="E8" s="714">
        <v>88</v>
      </c>
      <c r="F8" s="712">
        <f t="shared" si="2"/>
        <v>258</v>
      </c>
      <c r="G8" s="713">
        <v>165</v>
      </c>
      <c r="H8" s="714">
        <v>93</v>
      </c>
      <c r="I8" s="715">
        <f t="shared" si="0"/>
        <v>245</v>
      </c>
      <c r="J8" s="713">
        <v>180</v>
      </c>
      <c r="K8" s="714">
        <v>65</v>
      </c>
      <c r="L8" s="712">
        <f t="shared" si="3"/>
        <v>838</v>
      </c>
      <c r="M8" s="713">
        <f t="shared" si="4"/>
        <v>592</v>
      </c>
      <c r="N8" s="714">
        <f t="shared" si="5"/>
        <v>246</v>
      </c>
      <c r="O8" s="709"/>
    </row>
    <row r="9" spans="1:15" ht="16.5" customHeight="1">
      <c r="A9" s="13"/>
      <c r="B9" s="711" t="s">
        <v>188</v>
      </c>
      <c r="C9" s="712">
        <f t="shared" si="1"/>
        <v>336</v>
      </c>
      <c r="D9" s="713">
        <v>245</v>
      </c>
      <c r="E9" s="714">
        <v>91</v>
      </c>
      <c r="F9" s="712">
        <f t="shared" si="2"/>
        <v>316</v>
      </c>
      <c r="G9" s="713">
        <v>194</v>
      </c>
      <c r="H9" s="714">
        <v>122</v>
      </c>
      <c r="I9" s="715">
        <f t="shared" si="0"/>
        <v>276</v>
      </c>
      <c r="J9" s="713">
        <v>194</v>
      </c>
      <c r="K9" s="714">
        <v>82</v>
      </c>
      <c r="L9" s="712">
        <f t="shared" si="3"/>
        <v>928</v>
      </c>
      <c r="M9" s="713">
        <f t="shared" si="4"/>
        <v>633</v>
      </c>
      <c r="N9" s="714">
        <f t="shared" si="5"/>
        <v>295</v>
      </c>
      <c r="O9" s="709"/>
    </row>
    <row r="10" spans="1:15" ht="16.5" customHeight="1">
      <c r="A10" s="13"/>
      <c r="B10" s="711" t="s">
        <v>189</v>
      </c>
      <c r="C10" s="712">
        <f t="shared" si="1"/>
        <v>244</v>
      </c>
      <c r="D10" s="713">
        <v>170</v>
      </c>
      <c r="E10" s="714">
        <v>74</v>
      </c>
      <c r="F10" s="712">
        <f t="shared" si="2"/>
        <v>274</v>
      </c>
      <c r="G10" s="713">
        <v>189</v>
      </c>
      <c r="H10" s="714">
        <v>85</v>
      </c>
      <c r="I10" s="715">
        <f t="shared" si="0"/>
        <v>251</v>
      </c>
      <c r="J10" s="713">
        <v>169</v>
      </c>
      <c r="K10" s="714">
        <v>82</v>
      </c>
      <c r="L10" s="712">
        <f t="shared" si="3"/>
        <v>769</v>
      </c>
      <c r="M10" s="713">
        <f t="shared" si="4"/>
        <v>528</v>
      </c>
      <c r="N10" s="714">
        <f t="shared" si="5"/>
        <v>241</v>
      </c>
      <c r="O10" s="709"/>
    </row>
    <row r="11" spans="1:15" ht="16.5" customHeight="1">
      <c r="A11" s="13"/>
      <c r="B11" s="711" t="s">
        <v>190</v>
      </c>
      <c r="C11" s="712">
        <f t="shared" si="1"/>
        <v>149</v>
      </c>
      <c r="D11" s="713">
        <v>97</v>
      </c>
      <c r="E11" s="714">
        <v>52</v>
      </c>
      <c r="F11" s="712">
        <f t="shared" si="2"/>
        <v>154</v>
      </c>
      <c r="G11" s="713">
        <v>110</v>
      </c>
      <c r="H11" s="714">
        <v>44</v>
      </c>
      <c r="I11" s="715">
        <f t="shared" si="0"/>
        <v>151</v>
      </c>
      <c r="J11" s="713">
        <v>103</v>
      </c>
      <c r="K11" s="714">
        <v>48</v>
      </c>
      <c r="L11" s="712">
        <f t="shared" si="3"/>
        <v>454</v>
      </c>
      <c r="M11" s="713">
        <f t="shared" si="4"/>
        <v>310</v>
      </c>
      <c r="N11" s="714">
        <f t="shared" si="5"/>
        <v>144</v>
      </c>
      <c r="O11" s="709"/>
    </row>
    <row r="12" spans="1:15" ht="16.5" customHeight="1">
      <c r="A12" s="13"/>
      <c r="B12" s="711" t="s">
        <v>191</v>
      </c>
      <c r="C12" s="712">
        <f t="shared" si="1"/>
        <v>723</v>
      </c>
      <c r="D12" s="713">
        <v>442</v>
      </c>
      <c r="E12" s="714">
        <v>281</v>
      </c>
      <c r="F12" s="712">
        <f t="shared" si="2"/>
        <v>688</v>
      </c>
      <c r="G12" s="713">
        <v>460</v>
      </c>
      <c r="H12" s="714">
        <v>228</v>
      </c>
      <c r="I12" s="715">
        <f t="shared" si="0"/>
        <v>789</v>
      </c>
      <c r="J12" s="713">
        <v>500</v>
      </c>
      <c r="K12" s="714">
        <v>289</v>
      </c>
      <c r="L12" s="712">
        <f t="shared" si="3"/>
        <v>2200</v>
      </c>
      <c r="M12" s="713">
        <f t="shared" si="4"/>
        <v>1402</v>
      </c>
      <c r="N12" s="714">
        <f t="shared" si="5"/>
        <v>798</v>
      </c>
      <c r="O12" s="709"/>
    </row>
    <row r="13" spans="1:15" ht="16.5" customHeight="1">
      <c r="A13" s="13"/>
      <c r="B13" s="711" t="s">
        <v>192</v>
      </c>
      <c r="C13" s="712">
        <f t="shared" si="1"/>
        <v>198</v>
      </c>
      <c r="D13" s="713">
        <v>104</v>
      </c>
      <c r="E13" s="714">
        <v>94</v>
      </c>
      <c r="F13" s="712">
        <f t="shared" si="2"/>
        <v>181</v>
      </c>
      <c r="G13" s="713">
        <v>76</v>
      </c>
      <c r="H13" s="714">
        <v>105</v>
      </c>
      <c r="I13" s="715">
        <f t="shared" si="0"/>
        <v>113</v>
      </c>
      <c r="J13" s="713">
        <v>46</v>
      </c>
      <c r="K13" s="714">
        <v>67</v>
      </c>
      <c r="L13" s="712">
        <f t="shared" si="3"/>
        <v>492</v>
      </c>
      <c r="M13" s="713">
        <f t="shared" si="4"/>
        <v>226</v>
      </c>
      <c r="N13" s="714">
        <f t="shared" si="5"/>
        <v>266</v>
      </c>
      <c r="O13" s="709"/>
    </row>
    <row r="14" spans="1:15" ht="16.5" customHeight="1">
      <c r="A14" s="13"/>
      <c r="B14" s="711" t="s">
        <v>193</v>
      </c>
      <c r="C14" s="712">
        <f t="shared" si="1"/>
        <v>121</v>
      </c>
      <c r="D14" s="713">
        <v>65</v>
      </c>
      <c r="E14" s="714">
        <v>56</v>
      </c>
      <c r="F14" s="712">
        <f t="shared" si="2"/>
        <v>143</v>
      </c>
      <c r="G14" s="713">
        <v>77</v>
      </c>
      <c r="H14" s="714">
        <v>66</v>
      </c>
      <c r="I14" s="715">
        <f t="shared" si="0"/>
        <v>106</v>
      </c>
      <c r="J14" s="713">
        <v>51</v>
      </c>
      <c r="K14" s="714">
        <v>55</v>
      </c>
      <c r="L14" s="719">
        <f t="shared" si="3"/>
        <v>370</v>
      </c>
      <c r="M14" s="720">
        <f t="shared" si="4"/>
        <v>193</v>
      </c>
      <c r="N14" s="721">
        <f t="shared" si="5"/>
        <v>177</v>
      </c>
      <c r="O14" s="709"/>
    </row>
    <row r="15" spans="1:15" ht="16.5" customHeight="1">
      <c r="A15" s="6"/>
      <c r="B15" s="722" t="s">
        <v>2</v>
      </c>
      <c r="C15" s="716">
        <f aca="true" t="shared" si="6" ref="C15:N15">SUM(C6:C14)</f>
        <v>2794</v>
      </c>
      <c r="D15" s="717">
        <f t="shared" si="6"/>
        <v>1766</v>
      </c>
      <c r="E15" s="718">
        <f t="shared" si="6"/>
        <v>1028</v>
      </c>
      <c r="F15" s="716">
        <f t="shared" si="6"/>
        <v>2696</v>
      </c>
      <c r="G15" s="717">
        <f t="shared" si="6"/>
        <v>1685</v>
      </c>
      <c r="H15" s="718">
        <f t="shared" si="6"/>
        <v>1011</v>
      </c>
      <c r="I15" s="723">
        <f t="shared" si="6"/>
        <v>2521</v>
      </c>
      <c r="J15" s="717">
        <f t="shared" si="6"/>
        <v>1602</v>
      </c>
      <c r="K15" s="718">
        <f t="shared" si="6"/>
        <v>919</v>
      </c>
      <c r="L15" s="716">
        <f t="shared" si="6"/>
        <v>8011</v>
      </c>
      <c r="M15" s="717">
        <f t="shared" si="6"/>
        <v>5053</v>
      </c>
      <c r="N15" s="718">
        <f t="shared" si="6"/>
        <v>2958</v>
      </c>
      <c r="O15" s="709"/>
    </row>
    <row r="16" spans="1:15" ht="16.5" customHeight="1">
      <c r="A16" s="13"/>
      <c r="B16" s="711" t="s">
        <v>4</v>
      </c>
      <c r="C16" s="712">
        <f>D16+E16</f>
        <v>177</v>
      </c>
      <c r="D16" s="713">
        <v>103</v>
      </c>
      <c r="E16" s="714">
        <v>74</v>
      </c>
      <c r="F16" s="712">
        <f>G16+H16</f>
        <v>162</v>
      </c>
      <c r="G16" s="713">
        <v>102</v>
      </c>
      <c r="H16" s="714">
        <v>60</v>
      </c>
      <c r="I16" s="712">
        <f>J16+K16</f>
        <v>145</v>
      </c>
      <c r="J16" s="713">
        <v>78</v>
      </c>
      <c r="K16" s="714">
        <v>67</v>
      </c>
      <c r="L16" s="712">
        <f>C16+F16+I16</f>
        <v>484</v>
      </c>
      <c r="M16" s="713">
        <f>SUM(D16,G16,J16)</f>
        <v>283</v>
      </c>
      <c r="N16" s="724">
        <f>SUM(E16,H16,K16)</f>
        <v>201</v>
      </c>
      <c r="O16" s="709"/>
    </row>
    <row r="17" spans="1:15" s="18" customFormat="1" ht="24" customHeight="1">
      <c r="A17" s="24"/>
      <c r="B17" s="725" t="s">
        <v>109</v>
      </c>
      <c r="C17" s="726">
        <f aca="true" t="shared" si="7" ref="C17:N17">SUM(C15:C16)</f>
        <v>2971</v>
      </c>
      <c r="D17" s="727">
        <f t="shared" si="7"/>
        <v>1869</v>
      </c>
      <c r="E17" s="728">
        <f t="shared" si="7"/>
        <v>1102</v>
      </c>
      <c r="F17" s="726">
        <f t="shared" si="7"/>
        <v>2858</v>
      </c>
      <c r="G17" s="727">
        <f t="shared" si="7"/>
        <v>1787</v>
      </c>
      <c r="H17" s="728">
        <f t="shared" si="7"/>
        <v>1071</v>
      </c>
      <c r="I17" s="729">
        <f t="shared" si="7"/>
        <v>2666</v>
      </c>
      <c r="J17" s="727">
        <f t="shared" si="7"/>
        <v>1680</v>
      </c>
      <c r="K17" s="728">
        <f t="shared" si="7"/>
        <v>986</v>
      </c>
      <c r="L17" s="726">
        <f t="shared" si="7"/>
        <v>8495</v>
      </c>
      <c r="M17" s="727">
        <f t="shared" si="7"/>
        <v>5336</v>
      </c>
      <c r="N17" s="728">
        <f t="shared" si="7"/>
        <v>3159</v>
      </c>
      <c r="O17" s="709"/>
    </row>
    <row r="18" spans="1:15" ht="10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30"/>
      <c r="O18" s="709"/>
    </row>
    <row r="19" spans="1:15" ht="21.75" customHeight="1">
      <c r="A19" s="55" t="s">
        <v>392</v>
      </c>
      <c r="L19" s="18"/>
      <c r="M19" s="18"/>
      <c r="N19" s="18"/>
      <c r="O19" s="709"/>
    </row>
    <row r="20" spans="12:15" ht="15" customHeight="1">
      <c r="L20" s="731"/>
      <c r="M20" s="731"/>
      <c r="N20" s="731"/>
      <c r="O20" s="709"/>
    </row>
    <row r="21" spans="1:14" ht="15" customHeight="1">
      <c r="A21" s="1226" t="s">
        <v>34</v>
      </c>
      <c r="B21" s="1260"/>
      <c r="C21" s="8"/>
      <c r="D21" s="732" t="s">
        <v>182</v>
      </c>
      <c r="E21" s="732"/>
      <c r="F21" s="732"/>
      <c r="G21" s="732"/>
      <c r="H21" s="732"/>
      <c r="I21" s="732"/>
      <c r="J21" s="732"/>
      <c r="K21" s="732"/>
      <c r="L21" s="732"/>
      <c r="M21" s="732"/>
      <c r="N21" s="733"/>
    </row>
    <row r="22" spans="1:14" ht="15" customHeight="1">
      <c r="A22" s="1261"/>
      <c r="B22" s="1263"/>
      <c r="C22" s="1275" t="s">
        <v>183</v>
      </c>
      <c r="D22" s="1276"/>
      <c r="E22" s="1277"/>
      <c r="F22" s="1275" t="s">
        <v>184</v>
      </c>
      <c r="G22" s="1276"/>
      <c r="H22" s="1277"/>
      <c r="I22" s="1275" t="s">
        <v>185</v>
      </c>
      <c r="J22" s="1276"/>
      <c r="K22" s="1277"/>
      <c r="L22" s="1275" t="s">
        <v>5</v>
      </c>
      <c r="M22" s="1276"/>
      <c r="N22" s="1277"/>
    </row>
    <row r="23" spans="1:14" ht="15" customHeight="1">
      <c r="A23" s="1264"/>
      <c r="B23" s="1266"/>
      <c r="C23" s="8" t="s">
        <v>5</v>
      </c>
      <c r="D23" s="710" t="s">
        <v>47</v>
      </c>
      <c r="E23" s="9" t="s">
        <v>48</v>
      </c>
      <c r="F23" s="8" t="s">
        <v>5</v>
      </c>
      <c r="G23" s="710" t="s">
        <v>47</v>
      </c>
      <c r="H23" s="9" t="s">
        <v>48</v>
      </c>
      <c r="I23" s="8" t="s">
        <v>5</v>
      </c>
      <c r="J23" s="710" t="s">
        <v>47</v>
      </c>
      <c r="K23" s="9" t="s">
        <v>48</v>
      </c>
      <c r="L23" s="8" t="s">
        <v>5</v>
      </c>
      <c r="M23" s="710" t="s">
        <v>47</v>
      </c>
      <c r="N23" s="9" t="s">
        <v>48</v>
      </c>
    </row>
    <row r="24" spans="1:14" ht="18.75" customHeight="1">
      <c r="A24" s="13"/>
      <c r="B24" s="722" t="s">
        <v>267</v>
      </c>
      <c r="C24" s="716">
        <f>D24+E24</f>
        <v>1038</v>
      </c>
      <c r="D24" s="717">
        <v>643</v>
      </c>
      <c r="E24" s="718">
        <v>395</v>
      </c>
      <c r="F24" s="716">
        <f>G24+H24</f>
        <v>961</v>
      </c>
      <c r="G24" s="717">
        <v>579</v>
      </c>
      <c r="H24" s="734">
        <v>382</v>
      </c>
      <c r="I24" s="712">
        <f>J24+K24</f>
        <v>851</v>
      </c>
      <c r="J24" s="713">
        <v>539</v>
      </c>
      <c r="K24" s="714">
        <v>312</v>
      </c>
      <c r="L24" s="735">
        <f aca="true" t="shared" si="8" ref="L24:N28">C24+F24+I24</f>
        <v>2850</v>
      </c>
      <c r="M24" s="736">
        <f t="shared" si="8"/>
        <v>1761</v>
      </c>
      <c r="N24" s="734">
        <f t="shared" si="8"/>
        <v>1089</v>
      </c>
    </row>
    <row r="25" spans="1:14" ht="16.5" customHeight="1">
      <c r="A25" s="13"/>
      <c r="B25" s="711" t="s">
        <v>194</v>
      </c>
      <c r="C25" s="712">
        <f>D25+E25</f>
        <v>843</v>
      </c>
      <c r="D25" s="713">
        <v>558</v>
      </c>
      <c r="E25" s="714">
        <v>285</v>
      </c>
      <c r="F25" s="712">
        <f>G25+H25</f>
        <v>766</v>
      </c>
      <c r="G25" s="713">
        <v>468</v>
      </c>
      <c r="H25" s="714">
        <v>298</v>
      </c>
      <c r="I25" s="712">
        <f>J25+K25</f>
        <v>650</v>
      </c>
      <c r="J25" s="713">
        <v>432</v>
      </c>
      <c r="K25" s="714">
        <v>218</v>
      </c>
      <c r="L25" s="737">
        <f t="shared" si="8"/>
        <v>2259</v>
      </c>
      <c r="M25" s="738">
        <f t="shared" si="8"/>
        <v>1458</v>
      </c>
      <c r="N25" s="739">
        <f t="shared" si="8"/>
        <v>801</v>
      </c>
    </row>
    <row r="26" spans="1:14" ht="16.5" customHeight="1">
      <c r="A26" s="13"/>
      <c r="B26" s="711" t="s">
        <v>195</v>
      </c>
      <c r="C26" s="712">
        <f>D26+E26</f>
        <v>558</v>
      </c>
      <c r="D26" s="713">
        <v>358</v>
      </c>
      <c r="E26" s="714">
        <v>200</v>
      </c>
      <c r="F26" s="712">
        <f>G26+H26</f>
        <v>561</v>
      </c>
      <c r="G26" s="713">
        <v>370</v>
      </c>
      <c r="H26" s="714">
        <v>191</v>
      </c>
      <c r="I26" s="712">
        <f>J26+K26</f>
        <v>566</v>
      </c>
      <c r="J26" s="713">
        <v>355</v>
      </c>
      <c r="K26" s="714">
        <v>211</v>
      </c>
      <c r="L26" s="737">
        <f t="shared" si="8"/>
        <v>1685</v>
      </c>
      <c r="M26" s="738">
        <f t="shared" si="8"/>
        <v>1083</v>
      </c>
      <c r="N26" s="739">
        <f t="shared" si="8"/>
        <v>602</v>
      </c>
    </row>
    <row r="27" spans="1:14" ht="16.5" customHeight="1">
      <c r="A27" s="13"/>
      <c r="B27" s="711" t="s">
        <v>196</v>
      </c>
      <c r="C27" s="712">
        <f>D27+E27</f>
        <v>355</v>
      </c>
      <c r="D27" s="713">
        <v>207</v>
      </c>
      <c r="E27" s="714">
        <v>148</v>
      </c>
      <c r="F27" s="712">
        <f>G27+H27</f>
        <v>408</v>
      </c>
      <c r="G27" s="713">
        <v>268</v>
      </c>
      <c r="H27" s="714">
        <v>140</v>
      </c>
      <c r="I27" s="712">
        <f>J27+K27</f>
        <v>454</v>
      </c>
      <c r="J27" s="713">
        <v>276</v>
      </c>
      <c r="K27" s="714">
        <v>178</v>
      </c>
      <c r="L27" s="737">
        <f t="shared" si="8"/>
        <v>1217</v>
      </c>
      <c r="M27" s="738">
        <f t="shared" si="8"/>
        <v>751</v>
      </c>
      <c r="N27" s="739">
        <f t="shared" si="8"/>
        <v>466</v>
      </c>
    </row>
    <row r="28" spans="1:14" ht="16.5" customHeight="1">
      <c r="A28" s="13"/>
      <c r="B28" s="711" t="s">
        <v>197</v>
      </c>
      <c r="C28" s="712">
        <f>D28+E28</f>
        <v>177</v>
      </c>
      <c r="D28" s="713">
        <v>103</v>
      </c>
      <c r="E28" s="714">
        <v>74</v>
      </c>
      <c r="F28" s="712">
        <f>G28+H28</f>
        <v>162</v>
      </c>
      <c r="G28" s="713">
        <v>102</v>
      </c>
      <c r="H28" s="714">
        <v>60</v>
      </c>
      <c r="I28" s="712">
        <f>J28+K28</f>
        <v>145</v>
      </c>
      <c r="J28" s="713">
        <v>78</v>
      </c>
      <c r="K28" s="714">
        <v>67</v>
      </c>
      <c r="L28" s="737">
        <f t="shared" si="8"/>
        <v>484</v>
      </c>
      <c r="M28" s="738">
        <f t="shared" si="8"/>
        <v>283</v>
      </c>
      <c r="N28" s="739">
        <f t="shared" si="8"/>
        <v>201</v>
      </c>
    </row>
    <row r="29" spans="1:16" ht="18" customHeight="1">
      <c r="A29" s="24"/>
      <c r="B29" s="725" t="s">
        <v>198</v>
      </c>
      <c r="C29" s="726">
        <f aca="true" t="shared" si="9" ref="C29:N29">SUM(C24:C28)</f>
        <v>2971</v>
      </c>
      <c r="D29" s="727">
        <f t="shared" si="9"/>
        <v>1869</v>
      </c>
      <c r="E29" s="728">
        <f t="shared" si="9"/>
        <v>1102</v>
      </c>
      <c r="F29" s="729">
        <f t="shared" si="9"/>
        <v>2858</v>
      </c>
      <c r="G29" s="727">
        <f>SUM(G24:G28)</f>
        <v>1787</v>
      </c>
      <c r="H29" s="728">
        <f>SUM(H24:H28)</f>
        <v>1071</v>
      </c>
      <c r="I29" s="729">
        <f t="shared" si="9"/>
        <v>2666</v>
      </c>
      <c r="J29" s="727">
        <f t="shared" si="9"/>
        <v>1680</v>
      </c>
      <c r="K29" s="728">
        <f t="shared" si="9"/>
        <v>986</v>
      </c>
      <c r="L29" s="726">
        <f t="shared" si="9"/>
        <v>8495</v>
      </c>
      <c r="M29" s="727">
        <f t="shared" si="9"/>
        <v>5336</v>
      </c>
      <c r="N29" s="728">
        <f t="shared" si="9"/>
        <v>3159</v>
      </c>
      <c r="P29" s="740"/>
    </row>
    <row r="30" spans="2:15" s="54" customFormat="1" ht="15" customHeight="1">
      <c r="B30" s="81"/>
      <c r="O30" s="741"/>
    </row>
  </sheetData>
  <mergeCells count="11">
    <mergeCell ref="A3:B5"/>
    <mergeCell ref="A21:B23"/>
    <mergeCell ref="C4:E4"/>
    <mergeCell ref="F4:H4"/>
    <mergeCell ref="C22:E22"/>
    <mergeCell ref="F22:H22"/>
    <mergeCell ref="L22:N22"/>
    <mergeCell ref="C3:N3"/>
    <mergeCell ref="I4:K4"/>
    <mergeCell ref="L4:N4"/>
    <mergeCell ref="I22:K22"/>
  </mergeCells>
  <printOptions/>
  <pageMargins left="0.5" right="0.25" top="0.73" bottom="0.37" header="0.4" footer="0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2" sqref="A2"/>
    </sheetView>
  </sheetViews>
  <sheetFormatPr defaultColWidth="9.140625" defaultRowHeight="12.75"/>
  <cols>
    <col min="1" max="1" width="2.28125" style="1092" customWidth="1"/>
    <col min="2" max="2" width="11.28125" style="1092" customWidth="1"/>
    <col min="3" max="8" width="7.8515625" style="1092" hidden="1" customWidth="1"/>
    <col min="9" max="17" width="8.57421875" style="1092" customWidth="1"/>
    <col min="18" max="16384" width="9.140625" style="1092" customWidth="1"/>
  </cols>
  <sheetData>
    <row r="1" s="1091" customFormat="1" ht="18" customHeight="1">
      <c r="A1" s="1090" t="s">
        <v>390</v>
      </c>
    </row>
    <row r="2" ht="20.25" customHeight="1">
      <c r="A2" s="1091" t="s">
        <v>294</v>
      </c>
    </row>
    <row r="3" ht="12.75" customHeight="1"/>
    <row r="4" spans="1:17" s="1096" customFormat="1" ht="30" customHeight="1">
      <c r="A4" s="1446" t="s">
        <v>292</v>
      </c>
      <c r="B4" s="1447"/>
      <c r="C4" s="1093">
        <v>2004</v>
      </c>
      <c r="D4" s="1094"/>
      <c r="E4" s="1095"/>
      <c r="F4" s="1093">
        <v>2005</v>
      </c>
      <c r="G4" s="1094"/>
      <c r="H4" s="1095"/>
      <c r="I4" s="1093">
        <v>2006</v>
      </c>
      <c r="J4" s="1094"/>
      <c r="K4" s="1095"/>
      <c r="L4" s="1093">
        <v>2007</v>
      </c>
      <c r="M4" s="1094"/>
      <c r="N4" s="1095"/>
      <c r="O4" s="1093">
        <v>2008</v>
      </c>
      <c r="P4" s="1094"/>
      <c r="Q4" s="1095"/>
    </row>
    <row r="5" spans="1:17" s="1096" customFormat="1" ht="30" customHeight="1">
      <c r="A5" s="1448"/>
      <c r="B5" s="1449"/>
      <c r="C5" s="1097" t="s">
        <v>5</v>
      </c>
      <c r="D5" s="1098" t="s">
        <v>47</v>
      </c>
      <c r="E5" s="1099" t="s">
        <v>48</v>
      </c>
      <c r="F5" s="1097" t="s">
        <v>5</v>
      </c>
      <c r="G5" s="1098" t="s">
        <v>47</v>
      </c>
      <c r="H5" s="1099" t="s">
        <v>48</v>
      </c>
      <c r="I5" s="1097" t="s">
        <v>5</v>
      </c>
      <c r="J5" s="1098" t="s">
        <v>47</v>
      </c>
      <c r="K5" s="1099" t="s">
        <v>48</v>
      </c>
      <c r="L5" s="1097" t="s">
        <v>5</v>
      </c>
      <c r="M5" s="1098" t="s">
        <v>47</v>
      </c>
      <c r="N5" s="1099" t="s">
        <v>48</v>
      </c>
      <c r="O5" s="1097" t="s">
        <v>5</v>
      </c>
      <c r="P5" s="1098" t="s">
        <v>47</v>
      </c>
      <c r="Q5" s="1099" t="s">
        <v>48</v>
      </c>
    </row>
    <row r="6" spans="1:17" s="1104" customFormat="1" ht="46.5" customHeight="1">
      <c r="A6" s="1100" t="s">
        <v>54</v>
      </c>
      <c r="B6" s="1101"/>
      <c r="C6" s="1102"/>
      <c r="D6" s="1102"/>
      <c r="E6" s="1102"/>
      <c r="F6" s="1103"/>
      <c r="G6" s="1103"/>
      <c r="H6" s="1103"/>
      <c r="K6" s="1102"/>
      <c r="N6" s="1103"/>
      <c r="O6" s="1102"/>
      <c r="Q6" s="1105"/>
    </row>
    <row r="7" spans="1:17" s="1096" customFormat="1" ht="45" customHeight="1">
      <c r="A7" s="1106" t="s">
        <v>106</v>
      </c>
      <c r="B7" s="1107" t="s">
        <v>91</v>
      </c>
      <c r="C7" s="1108">
        <f>E7+D7</f>
        <v>3641</v>
      </c>
      <c r="D7" s="1109">
        <v>2302</v>
      </c>
      <c r="E7" s="1110">
        <v>1339</v>
      </c>
      <c r="F7" s="1108">
        <f>H7+G7</f>
        <v>4164</v>
      </c>
      <c r="G7" s="1109">
        <v>2583</v>
      </c>
      <c r="H7" s="1110">
        <v>1581</v>
      </c>
      <c r="I7" s="1108">
        <f>K7+J7</f>
        <v>3747</v>
      </c>
      <c r="J7" s="1109">
        <v>2273</v>
      </c>
      <c r="K7" s="1110">
        <v>1474</v>
      </c>
      <c r="L7" s="1108">
        <f>N7+M7</f>
        <v>3146</v>
      </c>
      <c r="M7" s="1109">
        <v>1978</v>
      </c>
      <c r="N7" s="1110">
        <v>1168</v>
      </c>
      <c r="O7" s="1108">
        <f>Q7+P7</f>
        <v>2971</v>
      </c>
      <c r="P7" s="1109">
        <v>1869</v>
      </c>
      <c r="Q7" s="1110">
        <v>1102</v>
      </c>
    </row>
    <row r="8" spans="1:17" s="1096" customFormat="1" ht="45" customHeight="1">
      <c r="A8" s="1111"/>
      <c r="B8" s="1112" t="s">
        <v>92</v>
      </c>
      <c r="C8" s="1113">
        <f>E8+D8</f>
        <v>2866</v>
      </c>
      <c r="D8" s="1114">
        <v>1833</v>
      </c>
      <c r="E8" s="1115">
        <v>1033</v>
      </c>
      <c r="F8" s="1113">
        <f>H8+G8</f>
        <v>3208</v>
      </c>
      <c r="G8" s="1114">
        <v>2014</v>
      </c>
      <c r="H8" s="1115">
        <v>1194</v>
      </c>
      <c r="I8" s="1113">
        <f>K8+J8</f>
        <v>3788</v>
      </c>
      <c r="J8" s="1114">
        <v>2321</v>
      </c>
      <c r="K8" s="1115">
        <v>1467</v>
      </c>
      <c r="L8" s="1113">
        <f>N8+M8</f>
        <v>3192</v>
      </c>
      <c r="M8" s="1114">
        <v>1972</v>
      </c>
      <c r="N8" s="1115">
        <v>1220</v>
      </c>
      <c r="O8" s="1113">
        <f>Q8+P8</f>
        <v>2858</v>
      </c>
      <c r="P8" s="1114">
        <v>1787</v>
      </c>
      <c r="Q8" s="1115">
        <v>1071</v>
      </c>
    </row>
    <row r="9" spans="1:17" s="1096" customFormat="1" ht="45" customHeight="1">
      <c r="A9" s="1111"/>
      <c r="B9" s="1116" t="s">
        <v>93</v>
      </c>
      <c r="C9" s="1117">
        <f>E9+D9</f>
        <v>1981</v>
      </c>
      <c r="D9" s="1118">
        <v>1322</v>
      </c>
      <c r="E9" s="1119">
        <v>659</v>
      </c>
      <c r="F9" s="1117">
        <f>H9+G9</f>
        <v>2473</v>
      </c>
      <c r="G9" s="1118">
        <v>1524</v>
      </c>
      <c r="H9" s="1119">
        <v>949</v>
      </c>
      <c r="I9" s="1117">
        <f>K9+J9</f>
        <v>2889</v>
      </c>
      <c r="J9" s="1118">
        <v>1805</v>
      </c>
      <c r="K9" s="1119">
        <v>1084</v>
      </c>
      <c r="L9" s="1117">
        <f>N9+M9</f>
        <v>3235</v>
      </c>
      <c r="M9" s="1118">
        <v>2007</v>
      </c>
      <c r="N9" s="1119">
        <v>1228</v>
      </c>
      <c r="O9" s="1117">
        <f>Q9+P9</f>
        <v>2666</v>
      </c>
      <c r="P9" s="1118">
        <v>1680</v>
      </c>
      <c r="Q9" s="1119">
        <v>986</v>
      </c>
    </row>
    <row r="10" spans="1:17" s="1096" customFormat="1" ht="45" customHeight="1">
      <c r="A10" s="1444" t="s">
        <v>5</v>
      </c>
      <c r="B10" s="1445"/>
      <c r="C10" s="1117">
        <f aca="true" t="shared" si="0" ref="C10:Q10">SUM(C7:C9)</f>
        <v>8488</v>
      </c>
      <c r="D10" s="1118">
        <f t="shared" si="0"/>
        <v>5457</v>
      </c>
      <c r="E10" s="1120">
        <f t="shared" si="0"/>
        <v>3031</v>
      </c>
      <c r="F10" s="1117">
        <f t="shared" si="0"/>
        <v>9845</v>
      </c>
      <c r="G10" s="1118">
        <f t="shared" si="0"/>
        <v>6121</v>
      </c>
      <c r="H10" s="1120">
        <f t="shared" si="0"/>
        <v>3724</v>
      </c>
      <c r="I10" s="1117">
        <f t="shared" si="0"/>
        <v>10424</v>
      </c>
      <c r="J10" s="1118">
        <f t="shared" si="0"/>
        <v>6399</v>
      </c>
      <c r="K10" s="1120">
        <f t="shared" si="0"/>
        <v>4025</v>
      </c>
      <c r="L10" s="1117">
        <f t="shared" si="0"/>
        <v>9573</v>
      </c>
      <c r="M10" s="1118">
        <f t="shared" si="0"/>
        <v>5957</v>
      </c>
      <c r="N10" s="1120">
        <f t="shared" si="0"/>
        <v>3616</v>
      </c>
      <c r="O10" s="1117">
        <f t="shared" si="0"/>
        <v>8495</v>
      </c>
      <c r="P10" s="1118">
        <f t="shared" si="0"/>
        <v>5336</v>
      </c>
      <c r="Q10" s="1120">
        <f t="shared" si="0"/>
        <v>3159</v>
      </c>
    </row>
    <row r="11" spans="1:17" s="1096" customFormat="1" ht="46.5" customHeight="1">
      <c r="A11" s="1100" t="s">
        <v>52</v>
      </c>
      <c r="B11" s="1121"/>
      <c r="C11" s="1122"/>
      <c r="D11" s="1123"/>
      <c r="E11" s="1122"/>
      <c r="F11" s="1124"/>
      <c r="G11" s="1124"/>
      <c r="H11" s="1125"/>
      <c r="I11" s="1124"/>
      <c r="J11" s="1124"/>
      <c r="K11" s="1125"/>
      <c r="L11" s="1124"/>
      <c r="M11" s="1124"/>
      <c r="N11" s="1125"/>
      <c r="O11" s="1124"/>
      <c r="P11" s="1124"/>
      <c r="Q11" s="1126"/>
    </row>
    <row r="12" spans="1:20" s="1096" customFormat="1" ht="45" customHeight="1">
      <c r="A12" s="1106" t="s">
        <v>106</v>
      </c>
      <c r="B12" s="1107" t="s">
        <v>91</v>
      </c>
      <c r="C12" s="1108">
        <f>E12+D12</f>
        <v>3467</v>
      </c>
      <c r="D12" s="1109">
        <v>2203</v>
      </c>
      <c r="E12" s="1127">
        <v>1264</v>
      </c>
      <c r="F12" s="1108">
        <f>H12+G12</f>
        <v>3971</v>
      </c>
      <c r="G12" s="1109">
        <v>2454</v>
      </c>
      <c r="H12" s="1127">
        <v>1517</v>
      </c>
      <c r="I12" s="1108">
        <f>K12+J12</f>
        <v>3560</v>
      </c>
      <c r="J12" s="1109">
        <v>2173</v>
      </c>
      <c r="K12" s="1127">
        <v>1387</v>
      </c>
      <c r="L12" s="1108">
        <f>N12+M12</f>
        <v>2961</v>
      </c>
      <c r="M12" s="1109">
        <v>1866</v>
      </c>
      <c r="N12" s="1127">
        <v>1095</v>
      </c>
      <c r="O12" s="1108">
        <f>Q12+P12</f>
        <v>2794</v>
      </c>
      <c r="P12" s="1109">
        <v>1766</v>
      </c>
      <c r="Q12" s="1110">
        <v>1028</v>
      </c>
      <c r="S12" s="1140"/>
      <c r="T12" s="1133"/>
    </row>
    <row r="13" spans="1:20" s="1096" customFormat="1" ht="45" customHeight="1">
      <c r="A13" s="1111"/>
      <c r="B13" s="1112" t="s">
        <v>92</v>
      </c>
      <c r="C13" s="1113">
        <f>E13+D13</f>
        <v>2725</v>
      </c>
      <c r="D13" s="1114">
        <v>1743</v>
      </c>
      <c r="E13" s="1115">
        <v>982</v>
      </c>
      <c r="F13" s="1113">
        <f>H13+G13</f>
        <v>3045</v>
      </c>
      <c r="G13" s="1114">
        <v>1922</v>
      </c>
      <c r="H13" s="1115">
        <v>1123</v>
      </c>
      <c r="I13" s="1113">
        <f>K13+J13</f>
        <v>3608</v>
      </c>
      <c r="J13" s="1114">
        <v>2204</v>
      </c>
      <c r="K13" s="1115">
        <v>1404</v>
      </c>
      <c r="L13" s="1113">
        <f>N13+M13</f>
        <v>3023</v>
      </c>
      <c r="M13" s="1114">
        <v>1884</v>
      </c>
      <c r="N13" s="1115">
        <v>1139</v>
      </c>
      <c r="O13" s="1113">
        <f>Q13+P13</f>
        <v>2696</v>
      </c>
      <c r="P13" s="1114">
        <v>1685</v>
      </c>
      <c r="Q13" s="1115">
        <v>1011</v>
      </c>
      <c r="S13" s="1140"/>
      <c r="T13" s="1133"/>
    </row>
    <row r="14" spans="1:20" s="1096" customFormat="1" ht="45" customHeight="1">
      <c r="A14" s="1111"/>
      <c r="B14" s="1116" t="s">
        <v>93</v>
      </c>
      <c r="C14" s="1117">
        <f>E14+D14</f>
        <v>1856</v>
      </c>
      <c r="D14" s="1118">
        <v>1234</v>
      </c>
      <c r="E14" s="1119">
        <v>622</v>
      </c>
      <c r="F14" s="1117">
        <f>H14+G14</f>
        <v>2350</v>
      </c>
      <c r="G14" s="1118">
        <v>1444</v>
      </c>
      <c r="H14" s="1119">
        <v>906</v>
      </c>
      <c r="I14" s="1117">
        <f>K14+J14</f>
        <v>2735</v>
      </c>
      <c r="J14" s="1118">
        <v>1718</v>
      </c>
      <c r="K14" s="1119">
        <v>1017</v>
      </c>
      <c r="L14" s="1117">
        <f>N14+M14</f>
        <v>3087</v>
      </c>
      <c r="M14" s="1118">
        <v>1905</v>
      </c>
      <c r="N14" s="1119">
        <v>1182</v>
      </c>
      <c r="O14" s="1117">
        <f>Q14+P14</f>
        <v>2521</v>
      </c>
      <c r="P14" s="1118">
        <v>1602</v>
      </c>
      <c r="Q14" s="1119">
        <v>919</v>
      </c>
      <c r="S14" s="1140"/>
      <c r="T14" s="1133"/>
    </row>
    <row r="15" spans="1:20" s="1096" customFormat="1" ht="45" customHeight="1">
      <c r="A15" s="1444" t="s">
        <v>5</v>
      </c>
      <c r="B15" s="1445"/>
      <c r="C15" s="1117">
        <f aca="true" t="shared" si="1" ref="C15:Q15">SUM(C12:C14)</f>
        <v>8048</v>
      </c>
      <c r="D15" s="1118">
        <f t="shared" si="1"/>
        <v>5180</v>
      </c>
      <c r="E15" s="1128">
        <f t="shared" si="1"/>
        <v>2868</v>
      </c>
      <c r="F15" s="1117">
        <f t="shared" si="1"/>
        <v>9366</v>
      </c>
      <c r="G15" s="1118">
        <f t="shared" si="1"/>
        <v>5820</v>
      </c>
      <c r="H15" s="1128">
        <f t="shared" si="1"/>
        <v>3546</v>
      </c>
      <c r="I15" s="1117">
        <f t="shared" si="1"/>
        <v>9903</v>
      </c>
      <c r="J15" s="1118">
        <f t="shared" si="1"/>
        <v>6095</v>
      </c>
      <c r="K15" s="1128">
        <f t="shared" si="1"/>
        <v>3808</v>
      </c>
      <c r="L15" s="1117">
        <f t="shared" si="1"/>
        <v>9071</v>
      </c>
      <c r="M15" s="1118">
        <f t="shared" si="1"/>
        <v>5655</v>
      </c>
      <c r="N15" s="1128">
        <f t="shared" si="1"/>
        <v>3416</v>
      </c>
      <c r="O15" s="1117">
        <f t="shared" si="1"/>
        <v>8011</v>
      </c>
      <c r="P15" s="1118">
        <f t="shared" si="1"/>
        <v>5053</v>
      </c>
      <c r="Q15" s="1128">
        <f t="shared" si="1"/>
        <v>2958</v>
      </c>
      <c r="S15" s="1140"/>
      <c r="T15" s="1140"/>
    </row>
    <row r="16" spans="1:20" s="1096" customFormat="1" ht="45.75" customHeight="1">
      <c r="A16" s="1129" t="s">
        <v>53</v>
      </c>
      <c r="B16" s="1093"/>
      <c r="C16" s="1122"/>
      <c r="D16" s="1123"/>
      <c r="E16" s="1122"/>
      <c r="F16" s="1130"/>
      <c r="G16" s="1130"/>
      <c r="H16" s="1125"/>
      <c r="I16" s="1130"/>
      <c r="J16" s="1130"/>
      <c r="K16" s="1125"/>
      <c r="L16" s="1130"/>
      <c r="M16" s="1130"/>
      <c r="N16" s="1125"/>
      <c r="O16" s="1130"/>
      <c r="P16" s="1130"/>
      <c r="Q16" s="1126"/>
      <c r="S16" s="1141"/>
      <c r="T16" s="1141"/>
    </row>
    <row r="17" spans="1:17" s="1096" customFormat="1" ht="45" customHeight="1">
      <c r="A17" s="1106" t="s">
        <v>106</v>
      </c>
      <c r="B17" s="1107" t="s">
        <v>91</v>
      </c>
      <c r="C17" s="1131">
        <f aca="true" t="shared" si="2" ref="C17:E20">C7-C12</f>
        <v>174</v>
      </c>
      <c r="D17" s="1132">
        <f t="shared" si="2"/>
        <v>99</v>
      </c>
      <c r="E17" s="1110">
        <f t="shared" si="2"/>
        <v>75</v>
      </c>
      <c r="F17" s="1131">
        <f aca="true" t="shared" si="3" ref="F17:N17">F7-F12</f>
        <v>193</v>
      </c>
      <c r="G17" s="1132">
        <f t="shared" si="3"/>
        <v>129</v>
      </c>
      <c r="H17" s="1110">
        <f t="shared" si="3"/>
        <v>64</v>
      </c>
      <c r="I17" s="1131">
        <f t="shared" si="3"/>
        <v>187</v>
      </c>
      <c r="J17" s="1132">
        <f t="shared" si="3"/>
        <v>100</v>
      </c>
      <c r="K17" s="1110">
        <f t="shared" si="3"/>
        <v>87</v>
      </c>
      <c r="L17" s="1131">
        <f t="shared" si="3"/>
        <v>185</v>
      </c>
      <c r="M17" s="1132">
        <f t="shared" si="3"/>
        <v>112</v>
      </c>
      <c r="N17" s="1110">
        <f t="shared" si="3"/>
        <v>73</v>
      </c>
      <c r="O17" s="1131">
        <f aca="true" t="shared" si="4" ref="O17:Q20">O7-O12</f>
        <v>177</v>
      </c>
      <c r="P17" s="1132">
        <f t="shared" si="4"/>
        <v>103</v>
      </c>
      <c r="Q17" s="1110">
        <f t="shared" si="4"/>
        <v>74</v>
      </c>
    </row>
    <row r="18" spans="1:17" s="1096" customFormat="1" ht="45" customHeight="1">
      <c r="A18" s="1111"/>
      <c r="B18" s="1112" t="s">
        <v>92</v>
      </c>
      <c r="C18" s="1133">
        <f t="shared" si="2"/>
        <v>141</v>
      </c>
      <c r="D18" s="1134">
        <f t="shared" si="2"/>
        <v>90</v>
      </c>
      <c r="E18" s="1115">
        <f t="shared" si="2"/>
        <v>51</v>
      </c>
      <c r="F18" s="1133">
        <f aca="true" t="shared" si="5" ref="F18:N18">F8-F13</f>
        <v>163</v>
      </c>
      <c r="G18" s="1134">
        <f t="shared" si="5"/>
        <v>92</v>
      </c>
      <c r="H18" s="1115">
        <f t="shared" si="5"/>
        <v>71</v>
      </c>
      <c r="I18" s="1133">
        <f t="shared" si="5"/>
        <v>180</v>
      </c>
      <c r="J18" s="1134">
        <f t="shared" si="5"/>
        <v>117</v>
      </c>
      <c r="K18" s="1115">
        <f t="shared" si="5"/>
        <v>63</v>
      </c>
      <c r="L18" s="1133">
        <f t="shared" si="5"/>
        <v>169</v>
      </c>
      <c r="M18" s="1134">
        <f t="shared" si="5"/>
        <v>88</v>
      </c>
      <c r="N18" s="1115">
        <f t="shared" si="5"/>
        <v>81</v>
      </c>
      <c r="O18" s="1133">
        <f t="shared" si="4"/>
        <v>162</v>
      </c>
      <c r="P18" s="1134">
        <f t="shared" si="4"/>
        <v>102</v>
      </c>
      <c r="Q18" s="1115">
        <f t="shared" si="4"/>
        <v>60</v>
      </c>
    </row>
    <row r="19" spans="1:17" s="1096" customFormat="1" ht="45" customHeight="1">
      <c r="A19" s="1111"/>
      <c r="B19" s="1112" t="s">
        <v>93</v>
      </c>
      <c r="C19" s="1135">
        <f t="shared" si="2"/>
        <v>125</v>
      </c>
      <c r="D19" s="1136">
        <f t="shared" si="2"/>
        <v>88</v>
      </c>
      <c r="E19" s="1119">
        <f t="shared" si="2"/>
        <v>37</v>
      </c>
      <c r="F19" s="1135">
        <f aca="true" t="shared" si="6" ref="F19:N19">F9-F14</f>
        <v>123</v>
      </c>
      <c r="G19" s="1136">
        <f t="shared" si="6"/>
        <v>80</v>
      </c>
      <c r="H19" s="1119">
        <f t="shared" si="6"/>
        <v>43</v>
      </c>
      <c r="I19" s="1135">
        <f t="shared" si="6"/>
        <v>154</v>
      </c>
      <c r="J19" s="1136">
        <f t="shared" si="6"/>
        <v>87</v>
      </c>
      <c r="K19" s="1119">
        <f t="shared" si="6"/>
        <v>67</v>
      </c>
      <c r="L19" s="1135">
        <f t="shared" si="6"/>
        <v>148</v>
      </c>
      <c r="M19" s="1136">
        <f t="shared" si="6"/>
        <v>102</v>
      </c>
      <c r="N19" s="1119">
        <f t="shared" si="6"/>
        <v>46</v>
      </c>
      <c r="O19" s="1135">
        <f t="shared" si="4"/>
        <v>145</v>
      </c>
      <c r="P19" s="1136">
        <f t="shared" si="4"/>
        <v>78</v>
      </c>
      <c r="Q19" s="1119">
        <f t="shared" si="4"/>
        <v>67</v>
      </c>
    </row>
    <row r="20" spans="1:17" s="1096" customFormat="1" ht="45" customHeight="1">
      <c r="A20" s="1444" t="s">
        <v>5</v>
      </c>
      <c r="B20" s="1445"/>
      <c r="C20" s="1135">
        <f t="shared" si="2"/>
        <v>440</v>
      </c>
      <c r="D20" s="1136">
        <f t="shared" si="2"/>
        <v>277</v>
      </c>
      <c r="E20" s="1119">
        <f t="shared" si="2"/>
        <v>163</v>
      </c>
      <c r="F20" s="1135">
        <f aca="true" t="shared" si="7" ref="F20:N20">F10-F15</f>
        <v>479</v>
      </c>
      <c r="G20" s="1136">
        <f t="shared" si="7"/>
        <v>301</v>
      </c>
      <c r="H20" s="1119">
        <f t="shared" si="7"/>
        <v>178</v>
      </c>
      <c r="I20" s="1135">
        <f t="shared" si="7"/>
        <v>521</v>
      </c>
      <c r="J20" s="1136">
        <f t="shared" si="7"/>
        <v>304</v>
      </c>
      <c r="K20" s="1119">
        <f t="shared" si="7"/>
        <v>217</v>
      </c>
      <c r="L20" s="1135">
        <f t="shared" si="7"/>
        <v>502</v>
      </c>
      <c r="M20" s="1136">
        <f t="shared" si="7"/>
        <v>302</v>
      </c>
      <c r="N20" s="1119">
        <f t="shared" si="7"/>
        <v>200</v>
      </c>
      <c r="O20" s="1135">
        <f t="shared" si="4"/>
        <v>484</v>
      </c>
      <c r="P20" s="1136">
        <f t="shared" si="4"/>
        <v>283</v>
      </c>
      <c r="Q20" s="1119">
        <f t="shared" si="4"/>
        <v>201</v>
      </c>
    </row>
    <row r="21" spans="1:2" s="1139" customFormat="1" ht="19.5" customHeight="1">
      <c r="A21" s="1137"/>
      <c r="B21" s="1138"/>
    </row>
  </sheetData>
  <mergeCells count="4">
    <mergeCell ref="A10:B10"/>
    <mergeCell ref="A15:B15"/>
    <mergeCell ref="A20:B20"/>
    <mergeCell ref="A4:B5"/>
  </mergeCells>
  <printOptions/>
  <pageMargins left="0.45" right="0.65" top="0.75" bottom="0" header="0.5" footer="0"/>
  <pageSetup horizontalDpi="600" verticalDpi="600" orientation="portrait" paperSize="9" r:id="rId1"/>
  <headerFooter alignWithMargins="0">
    <oddHeader>&amp;C&amp;"Times New Roman,Regular"&amp;11- 27 -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7">
      <selection activeCell="M2" sqref="M2"/>
    </sheetView>
  </sheetViews>
  <sheetFormatPr defaultColWidth="9.140625" defaultRowHeight="12.75"/>
  <cols>
    <col min="1" max="1" width="1.57421875" style="1035" customWidth="1"/>
    <col min="2" max="2" width="15.00390625" style="1035" customWidth="1"/>
    <col min="3" max="8" width="8.140625" style="1035" hidden="1" customWidth="1"/>
    <col min="9" max="13" width="8.28125" style="1035" customWidth="1"/>
    <col min="14" max="14" width="8.28125" style="1036" customWidth="1"/>
    <col min="15" max="16" width="8.28125" style="1035" customWidth="1"/>
    <col min="17" max="17" width="8.28125" style="1036" customWidth="1"/>
    <col min="18" max="16384" width="9.140625" style="1035" customWidth="1"/>
  </cols>
  <sheetData>
    <row r="1" spans="1:17" s="1032" customFormat="1" ht="18" customHeight="1">
      <c r="A1" s="1031" t="s">
        <v>389</v>
      </c>
      <c r="N1" s="1033"/>
      <c r="Q1" s="1033"/>
    </row>
    <row r="2" spans="1:17" s="1032" customFormat="1" ht="16.5" customHeight="1">
      <c r="A2" s="1031"/>
      <c r="B2" s="1032" t="s">
        <v>293</v>
      </c>
      <c r="N2" s="1033"/>
      <c r="Q2" s="1033"/>
    </row>
    <row r="3" spans="1:17" s="1032" customFormat="1" ht="24.75" customHeight="1">
      <c r="A3" s="1034" t="s">
        <v>109</v>
      </c>
      <c r="N3" s="1033"/>
      <c r="Q3" s="1033"/>
    </row>
    <row r="4" ht="12.75" customHeight="1"/>
    <row r="5" spans="1:17" s="1040" customFormat="1" ht="20.25" customHeight="1">
      <c r="A5" s="1450" t="s">
        <v>292</v>
      </c>
      <c r="B5" s="1451"/>
      <c r="C5" s="1037">
        <v>2004</v>
      </c>
      <c r="D5" s="1038"/>
      <c r="E5" s="1039"/>
      <c r="F5" s="1037">
        <v>2005</v>
      </c>
      <c r="G5" s="1038"/>
      <c r="H5" s="1039"/>
      <c r="I5" s="1037">
        <v>2006</v>
      </c>
      <c r="J5" s="1038"/>
      <c r="K5" s="1039"/>
      <c r="L5" s="1037">
        <v>2007</v>
      </c>
      <c r="M5" s="1038"/>
      <c r="N5" s="1039"/>
      <c r="O5" s="1037">
        <v>2008</v>
      </c>
      <c r="P5" s="1038"/>
      <c r="Q5" s="1039"/>
    </row>
    <row r="6" spans="1:17" s="1040" customFormat="1" ht="26.25" customHeight="1">
      <c r="A6" s="1452"/>
      <c r="B6" s="1453"/>
      <c r="C6" s="1041" t="s">
        <v>5</v>
      </c>
      <c r="D6" s="1042" t="s">
        <v>47</v>
      </c>
      <c r="E6" s="1043" t="s">
        <v>48</v>
      </c>
      <c r="F6" s="1041" t="s">
        <v>5</v>
      </c>
      <c r="G6" s="1042" t="s">
        <v>47</v>
      </c>
      <c r="H6" s="1043" t="s">
        <v>48</v>
      </c>
      <c r="I6" s="1041" t="s">
        <v>5</v>
      </c>
      <c r="J6" s="1042" t="s">
        <v>47</v>
      </c>
      <c r="K6" s="1043" t="s">
        <v>48</v>
      </c>
      <c r="L6" s="1041" t="s">
        <v>5</v>
      </c>
      <c r="M6" s="1042" t="s">
        <v>47</v>
      </c>
      <c r="N6" s="1043" t="s">
        <v>48</v>
      </c>
      <c r="O6" s="1041" t="s">
        <v>5</v>
      </c>
      <c r="P6" s="1042" t="s">
        <v>47</v>
      </c>
      <c r="Q6" s="1043" t="s">
        <v>48</v>
      </c>
    </row>
    <row r="7" spans="1:17" s="1049" customFormat="1" ht="44.25" customHeight="1">
      <c r="A7" s="1044" t="s">
        <v>82</v>
      </c>
      <c r="B7" s="1045"/>
      <c r="C7" s="1046"/>
      <c r="D7" s="1046"/>
      <c r="E7" s="1047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8"/>
    </row>
    <row r="8" spans="1:17" s="1055" customFormat="1" ht="43.5" customHeight="1">
      <c r="A8" s="1050" t="s">
        <v>106</v>
      </c>
      <c r="B8" s="1051" t="s">
        <v>91</v>
      </c>
      <c r="C8" s="1052">
        <f>E8+D8</f>
        <v>3641</v>
      </c>
      <c r="D8" s="1053">
        <v>2302</v>
      </c>
      <c r="E8" s="1054">
        <v>1339</v>
      </c>
      <c r="F8" s="1052">
        <f>H8+G8</f>
        <v>4164</v>
      </c>
      <c r="G8" s="1053">
        <v>2583</v>
      </c>
      <c r="H8" s="1054">
        <v>1581</v>
      </c>
      <c r="I8" s="1052">
        <f>K8+J8</f>
        <v>3747</v>
      </c>
      <c r="J8" s="1053">
        <v>2273</v>
      </c>
      <c r="K8" s="1054">
        <v>1474</v>
      </c>
      <c r="L8" s="1052">
        <f>N8+M8</f>
        <v>3146</v>
      </c>
      <c r="M8" s="1053">
        <v>1978</v>
      </c>
      <c r="N8" s="1054">
        <v>1168</v>
      </c>
      <c r="O8" s="1052">
        <f>Q8+P8</f>
        <v>2971</v>
      </c>
      <c r="P8" s="1053">
        <v>1869</v>
      </c>
      <c r="Q8" s="1054">
        <v>1102</v>
      </c>
    </row>
    <row r="9" spans="1:17" s="1055" customFormat="1" ht="43.5" customHeight="1">
      <c r="A9" s="1056"/>
      <c r="B9" s="1057" t="s">
        <v>92</v>
      </c>
      <c r="C9" s="1058">
        <f>E9+D9</f>
        <v>2866</v>
      </c>
      <c r="D9" s="1059">
        <v>1833</v>
      </c>
      <c r="E9" s="1060">
        <v>1033</v>
      </c>
      <c r="F9" s="1058">
        <f>H9+G9</f>
        <v>3208</v>
      </c>
      <c r="G9" s="1059">
        <v>2014</v>
      </c>
      <c r="H9" s="1060">
        <v>1194</v>
      </c>
      <c r="I9" s="1058">
        <f>K9+J9</f>
        <v>3788</v>
      </c>
      <c r="J9" s="1059">
        <v>2321</v>
      </c>
      <c r="K9" s="1060">
        <v>1467</v>
      </c>
      <c r="L9" s="1058">
        <f>N9+M9</f>
        <v>3192</v>
      </c>
      <c r="M9" s="1059">
        <v>1972</v>
      </c>
      <c r="N9" s="1060">
        <v>1220</v>
      </c>
      <c r="O9" s="1058">
        <f>Q9+P9</f>
        <v>2858</v>
      </c>
      <c r="P9" s="1059">
        <v>1787</v>
      </c>
      <c r="Q9" s="1060">
        <v>1071</v>
      </c>
    </row>
    <row r="10" spans="1:17" s="1055" customFormat="1" ht="43.5" customHeight="1">
      <c r="A10" s="1056"/>
      <c r="B10" s="1057" t="s">
        <v>93</v>
      </c>
      <c r="C10" s="1061">
        <f>E10+D10</f>
        <v>1981</v>
      </c>
      <c r="D10" s="1059">
        <v>1322</v>
      </c>
      <c r="E10" s="1062">
        <v>659</v>
      </c>
      <c r="F10" s="1061">
        <f>H10+G10</f>
        <v>2473</v>
      </c>
      <c r="G10" s="1059">
        <v>1524</v>
      </c>
      <c r="H10" s="1062">
        <v>949</v>
      </c>
      <c r="I10" s="1061">
        <f>K10+J10</f>
        <v>2889</v>
      </c>
      <c r="J10" s="1059">
        <v>1805</v>
      </c>
      <c r="K10" s="1062">
        <v>1084</v>
      </c>
      <c r="L10" s="1061">
        <f>N10+M10</f>
        <v>3235</v>
      </c>
      <c r="M10" s="1059">
        <v>2007</v>
      </c>
      <c r="N10" s="1062">
        <v>1228</v>
      </c>
      <c r="O10" s="1061">
        <f>Q10+P10</f>
        <v>2666</v>
      </c>
      <c r="P10" s="1059">
        <v>1680</v>
      </c>
      <c r="Q10" s="1062">
        <v>986</v>
      </c>
    </row>
    <row r="11" spans="1:17" s="1055" customFormat="1" ht="43.5" customHeight="1">
      <c r="A11" s="1063"/>
      <c r="B11" s="1064" t="s">
        <v>5</v>
      </c>
      <c r="C11" s="1065">
        <f aca="true" t="shared" si="0" ref="C11:Q11">SUM(C8:C10)</f>
        <v>8488</v>
      </c>
      <c r="D11" s="1066">
        <f t="shared" si="0"/>
        <v>5457</v>
      </c>
      <c r="E11" s="1062">
        <f t="shared" si="0"/>
        <v>3031</v>
      </c>
      <c r="F11" s="1065">
        <f t="shared" si="0"/>
        <v>9845</v>
      </c>
      <c r="G11" s="1066">
        <f t="shared" si="0"/>
        <v>6121</v>
      </c>
      <c r="H11" s="1062">
        <f t="shared" si="0"/>
        <v>3724</v>
      </c>
      <c r="I11" s="1065">
        <f t="shared" si="0"/>
        <v>10424</v>
      </c>
      <c r="J11" s="1066">
        <f t="shared" si="0"/>
        <v>6399</v>
      </c>
      <c r="K11" s="1062">
        <f t="shared" si="0"/>
        <v>4025</v>
      </c>
      <c r="L11" s="1065">
        <f t="shared" si="0"/>
        <v>9573</v>
      </c>
      <c r="M11" s="1066">
        <f t="shared" si="0"/>
        <v>5957</v>
      </c>
      <c r="N11" s="1062">
        <f t="shared" si="0"/>
        <v>3616</v>
      </c>
      <c r="O11" s="1065">
        <f t="shared" si="0"/>
        <v>8495</v>
      </c>
      <c r="P11" s="1066">
        <f t="shared" si="0"/>
        <v>5336</v>
      </c>
      <c r="Q11" s="1062">
        <f t="shared" si="0"/>
        <v>3159</v>
      </c>
    </row>
    <row r="12" spans="1:17" s="1072" customFormat="1" ht="44.25" customHeight="1">
      <c r="A12" s="1067" t="s">
        <v>176</v>
      </c>
      <c r="B12" s="1068"/>
      <c r="C12" s="1069"/>
      <c r="D12" s="1068"/>
      <c r="E12" s="1070"/>
      <c r="F12" s="1069"/>
      <c r="G12" s="1069"/>
      <c r="H12" s="1070"/>
      <c r="I12" s="1069"/>
      <c r="J12" s="1069"/>
      <c r="K12" s="1070"/>
      <c r="L12" s="1069"/>
      <c r="M12" s="1069"/>
      <c r="N12" s="1070"/>
      <c r="O12" s="1069"/>
      <c r="P12" s="1069"/>
      <c r="Q12" s="1071"/>
    </row>
    <row r="13" spans="1:17" s="1055" customFormat="1" ht="43.5" customHeight="1">
      <c r="A13" s="1050" t="s">
        <v>106</v>
      </c>
      <c r="B13" s="1051" t="s">
        <v>91</v>
      </c>
      <c r="C13" s="1058">
        <f>E13+D13</f>
        <v>1530</v>
      </c>
      <c r="D13" s="1073">
        <v>1060</v>
      </c>
      <c r="E13" s="1054">
        <v>470</v>
      </c>
      <c r="F13" s="1058">
        <f>H13+G13</f>
        <v>1533</v>
      </c>
      <c r="G13" s="1073">
        <v>921</v>
      </c>
      <c r="H13" s="1054">
        <v>612</v>
      </c>
      <c r="I13" s="1058">
        <f>K13+J13</f>
        <v>1400</v>
      </c>
      <c r="J13" s="1073">
        <v>921</v>
      </c>
      <c r="K13" s="1054">
        <v>479</v>
      </c>
      <c r="L13" s="1058">
        <f>N13+M13</f>
        <v>1000</v>
      </c>
      <c r="M13" s="1073">
        <v>700</v>
      </c>
      <c r="N13" s="1054">
        <v>300</v>
      </c>
      <c r="O13" s="1058">
        <f>Q13+P13</f>
        <v>893</v>
      </c>
      <c r="P13" s="1073">
        <v>599</v>
      </c>
      <c r="Q13" s="1054">
        <v>294</v>
      </c>
    </row>
    <row r="14" spans="1:17" s="1055" customFormat="1" ht="43.5" customHeight="1">
      <c r="A14" s="1056"/>
      <c r="B14" s="1057" t="s">
        <v>92</v>
      </c>
      <c r="C14" s="1058">
        <f>E14+D14</f>
        <v>1138</v>
      </c>
      <c r="D14" s="1074">
        <v>728</v>
      </c>
      <c r="E14" s="1060">
        <v>410</v>
      </c>
      <c r="F14" s="1058">
        <f>H14+G14</f>
        <v>1510</v>
      </c>
      <c r="G14" s="1074">
        <v>1039</v>
      </c>
      <c r="H14" s="1060">
        <v>471</v>
      </c>
      <c r="I14" s="1058">
        <f>K14+J14</f>
        <v>1405</v>
      </c>
      <c r="J14" s="1074">
        <v>815</v>
      </c>
      <c r="K14" s="1060">
        <v>590</v>
      </c>
      <c r="L14" s="1058">
        <f>N14+M14</f>
        <v>1198</v>
      </c>
      <c r="M14" s="1074">
        <v>807</v>
      </c>
      <c r="N14" s="1060">
        <v>391</v>
      </c>
      <c r="O14" s="1058">
        <f>Q14+P14</f>
        <v>959</v>
      </c>
      <c r="P14" s="1074">
        <v>637</v>
      </c>
      <c r="Q14" s="1060">
        <v>322</v>
      </c>
    </row>
    <row r="15" spans="1:17" s="1055" customFormat="1" ht="43.5" customHeight="1">
      <c r="A15" s="1056"/>
      <c r="B15" s="1057" t="s">
        <v>93</v>
      </c>
      <c r="C15" s="1058">
        <f>E15+D15</f>
        <v>735</v>
      </c>
      <c r="D15" s="1075">
        <v>520</v>
      </c>
      <c r="E15" s="1062">
        <v>215</v>
      </c>
      <c r="F15" s="1058">
        <f>H15+G15</f>
        <v>1056</v>
      </c>
      <c r="G15" s="1075">
        <v>647</v>
      </c>
      <c r="H15" s="1062">
        <v>409</v>
      </c>
      <c r="I15" s="1058">
        <f>K15+J15</f>
        <v>1382</v>
      </c>
      <c r="J15" s="1075">
        <v>944</v>
      </c>
      <c r="K15" s="1062">
        <v>438</v>
      </c>
      <c r="L15" s="1058">
        <f>N15+M15</f>
        <v>1295</v>
      </c>
      <c r="M15" s="1075">
        <v>758</v>
      </c>
      <c r="N15" s="1062">
        <v>537</v>
      </c>
      <c r="O15" s="1058">
        <f>Q15+P15</f>
        <v>1010</v>
      </c>
      <c r="P15" s="1075">
        <v>699</v>
      </c>
      <c r="Q15" s="1062">
        <v>311</v>
      </c>
    </row>
    <row r="16" spans="1:17" s="1055" customFormat="1" ht="43.5" customHeight="1">
      <c r="A16" s="1076" t="s">
        <v>5</v>
      </c>
      <c r="B16" s="1064"/>
      <c r="C16" s="1065">
        <f aca="true" t="shared" si="1" ref="C16:Q16">SUM(C13:C15)</f>
        <v>3403</v>
      </c>
      <c r="D16" s="1075">
        <f t="shared" si="1"/>
        <v>2308</v>
      </c>
      <c r="E16" s="1062">
        <f t="shared" si="1"/>
        <v>1095</v>
      </c>
      <c r="F16" s="1065">
        <f t="shared" si="1"/>
        <v>4099</v>
      </c>
      <c r="G16" s="1075">
        <f t="shared" si="1"/>
        <v>2607</v>
      </c>
      <c r="H16" s="1062">
        <f t="shared" si="1"/>
        <v>1492</v>
      </c>
      <c r="I16" s="1065">
        <f t="shared" si="1"/>
        <v>4187</v>
      </c>
      <c r="J16" s="1075">
        <f t="shared" si="1"/>
        <v>2680</v>
      </c>
      <c r="K16" s="1062">
        <f t="shared" si="1"/>
        <v>1507</v>
      </c>
      <c r="L16" s="1065">
        <f t="shared" si="1"/>
        <v>3493</v>
      </c>
      <c r="M16" s="1075">
        <f t="shared" si="1"/>
        <v>2265</v>
      </c>
      <c r="N16" s="1062">
        <f t="shared" si="1"/>
        <v>1228</v>
      </c>
      <c r="O16" s="1065">
        <f t="shared" si="1"/>
        <v>2862</v>
      </c>
      <c r="P16" s="1075">
        <f t="shared" si="1"/>
        <v>1935</v>
      </c>
      <c r="Q16" s="1062">
        <f t="shared" si="1"/>
        <v>927</v>
      </c>
    </row>
    <row r="17" spans="1:17" s="1072" customFormat="1" ht="44.25" customHeight="1">
      <c r="A17" s="1077" t="s">
        <v>59</v>
      </c>
      <c r="B17" s="1069"/>
      <c r="C17" s="1078"/>
      <c r="D17" s="1078"/>
      <c r="E17" s="1070"/>
      <c r="F17" s="1079"/>
      <c r="G17" s="1079"/>
      <c r="H17" s="1080"/>
      <c r="I17" s="1079"/>
      <c r="J17" s="1079"/>
      <c r="K17" s="1080"/>
      <c r="L17" s="1079"/>
      <c r="M17" s="1079"/>
      <c r="N17" s="1080"/>
      <c r="O17" s="1079"/>
      <c r="P17" s="1079"/>
      <c r="Q17" s="1081"/>
    </row>
    <row r="18" spans="1:17" s="1055" customFormat="1" ht="45" customHeight="1">
      <c r="A18" s="1050" t="s">
        <v>106</v>
      </c>
      <c r="B18" s="1068" t="s">
        <v>91</v>
      </c>
      <c r="C18" s="1052">
        <f aca="true" t="shared" si="2" ref="C18:E21">C8-C13</f>
        <v>2111</v>
      </c>
      <c r="D18" s="1073">
        <f t="shared" si="2"/>
        <v>1242</v>
      </c>
      <c r="E18" s="1054">
        <f t="shared" si="2"/>
        <v>869</v>
      </c>
      <c r="F18" s="1082">
        <f aca="true" t="shared" si="3" ref="F18:N18">F8-F13</f>
        <v>2631</v>
      </c>
      <c r="G18" s="1073">
        <f t="shared" si="3"/>
        <v>1662</v>
      </c>
      <c r="H18" s="1054">
        <f t="shared" si="3"/>
        <v>969</v>
      </c>
      <c r="I18" s="1142">
        <f t="shared" si="3"/>
        <v>2347</v>
      </c>
      <c r="J18" s="1073">
        <f t="shared" si="3"/>
        <v>1352</v>
      </c>
      <c r="K18" s="1054">
        <f t="shared" si="3"/>
        <v>995</v>
      </c>
      <c r="L18" s="1082">
        <f t="shared" si="3"/>
        <v>2146</v>
      </c>
      <c r="M18" s="1073">
        <f t="shared" si="3"/>
        <v>1278</v>
      </c>
      <c r="N18" s="1054">
        <f t="shared" si="3"/>
        <v>868</v>
      </c>
      <c r="O18" s="1082">
        <f aca="true" t="shared" si="4" ref="O18:Q21">O8-O13</f>
        <v>2078</v>
      </c>
      <c r="P18" s="1073">
        <f t="shared" si="4"/>
        <v>1270</v>
      </c>
      <c r="Q18" s="1054">
        <f t="shared" si="4"/>
        <v>808</v>
      </c>
    </row>
    <row r="19" spans="1:17" s="1055" customFormat="1" ht="45" customHeight="1">
      <c r="A19" s="1056"/>
      <c r="B19" s="1083" t="s">
        <v>92</v>
      </c>
      <c r="C19" s="1058">
        <f t="shared" si="2"/>
        <v>1728</v>
      </c>
      <c r="D19" s="1074">
        <f t="shared" si="2"/>
        <v>1105</v>
      </c>
      <c r="E19" s="1060">
        <f t="shared" si="2"/>
        <v>623</v>
      </c>
      <c r="F19" s="1084">
        <f aca="true" t="shared" si="5" ref="F19:N19">F9-F14</f>
        <v>1698</v>
      </c>
      <c r="G19" s="1074">
        <f t="shared" si="5"/>
        <v>975</v>
      </c>
      <c r="H19" s="1060">
        <f t="shared" si="5"/>
        <v>723</v>
      </c>
      <c r="I19" s="1143">
        <f t="shared" si="5"/>
        <v>2383</v>
      </c>
      <c r="J19" s="1074">
        <f t="shared" si="5"/>
        <v>1506</v>
      </c>
      <c r="K19" s="1060">
        <f t="shared" si="5"/>
        <v>877</v>
      </c>
      <c r="L19" s="1084">
        <f t="shared" si="5"/>
        <v>1994</v>
      </c>
      <c r="M19" s="1074">
        <f t="shared" si="5"/>
        <v>1165</v>
      </c>
      <c r="N19" s="1060">
        <f t="shared" si="5"/>
        <v>829</v>
      </c>
      <c r="O19" s="1084">
        <f t="shared" si="4"/>
        <v>1899</v>
      </c>
      <c r="P19" s="1074">
        <f t="shared" si="4"/>
        <v>1150</v>
      </c>
      <c r="Q19" s="1060">
        <f t="shared" si="4"/>
        <v>749</v>
      </c>
    </row>
    <row r="20" spans="1:17" s="1055" customFormat="1" ht="45" customHeight="1">
      <c r="A20" s="1056"/>
      <c r="B20" s="1083" t="s">
        <v>93</v>
      </c>
      <c r="C20" s="1061">
        <f t="shared" si="2"/>
        <v>1246</v>
      </c>
      <c r="D20" s="1075">
        <f t="shared" si="2"/>
        <v>802</v>
      </c>
      <c r="E20" s="1062">
        <f t="shared" si="2"/>
        <v>444</v>
      </c>
      <c r="F20" s="1085">
        <f aca="true" t="shared" si="6" ref="F20:N20">F10-F15</f>
        <v>1417</v>
      </c>
      <c r="G20" s="1075">
        <f t="shared" si="6"/>
        <v>877</v>
      </c>
      <c r="H20" s="1062">
        <f t="shared" si="6"/>
        <v>540</v>
      </c>
      <c r="I20" s="1144">
        <f t="shared" si="6"/>
        <v>1507</v>
      </c>
      <c r="J20" s="1075">
        <f t="shared" si="6"/>
        <v>861</v>
      </c>
      <c r="K20" s="1062">
        <f t="shared" si="6"/>
        <v>646</v>
      </c>
      <c r="L20" s="1085">
        <f t="shared" si="6"/>
        <v>1940</v>
      </c>
      <c r="M20" s="1075">
        <f t="shared" si="6"/>
        <v>1249</v>
      </c>
      <c r="N20" s="1062">
        <f t="shared" si="6"/>
        <v>691</v>
      </c>
      <c r="O20" s="1085">
        <f t="shared" si="4"/>
        <v>1656</v>
      </c>
      <c r="P20" s="1075">
        <f t="shared" si="4"/>
        <v>981</v>
      </c>
      <c r="Q20" s="1062">
        <f t="shared" si="4"/>
        <v>675</v>
      </c>
    </row>
    <row r="21" spans="1:17" s="1055" customFormat="1" ht="45" customHeight="1">
      <c r="A21" s="1037"/>
      <c r="B21" s="1064" t="s">
        <v>5</v>
      </c>
      <c r="C21" s="1086">
        <f t="shared" si="2"/>
        <v>5085</v>
      </c>
      <c r="D21" s="1087">
        <f t="shared" si="2"/>
        <v>3149</v>
      </c>
      <c r="E21" s="1088">
        <f t="shared" si="2"/>
        <v>1936</v>
      </c>
      <c r="F21" s="1086">
        <f aca="true" t="shared" si="7" ref="F21:N21">F11-F16</f>
        <v>5746</v>
      </c>
      <c r="G21" s="1087">
        <f t="shared" si="7"/>
        <v>3514</v>
      </c>
      <c r="H21" s="1088">
        <f t="shared" si="7"/>
        <v>2232</v>
      </c>
      <c r="I21" s="1145">
        <f t="shared" si="7"/>
        <v>6237</v>
      </c>
      <c r="J21" s="1087">
        <f t="shared" si="7"/>
        <v>3719</v>
      </c>
      <c r="K21" s="1088">
        <f t="shared" si="7"/>
        <v>2518</v>
      </c>
      <c r="L21" s="1086">
        <f t="shared" si="7"/>
        <v>6080</v>
      </c>
      <c r="M21" s="1087">
        <f t="shared" si="7"/>
        <v>3692</v>
      </c>
      <c r="N21" s="1088">
        <f t="shared" si="7"/>
        <v>2388</v>
      </c>
      <c r="O21" s="1086">
        <f t="shared" si="4"/>
        <v>5633</v>
      </c>
      <c r="P21" s="1087">
        <f t="shared" si="4"/>
        <v>3401</v>
      </c>
      <c r="Q21" s="1088">
        <f t="shared" si="4"/>
        <v>2232</v>
      </c>
    </row>
    <row r="22" ht="18.75" customHeight="1">
      <c r="B22" s="1089"/>
    </row>
  </sheetData>
  <mergeCells count="1">
    <mergeCell ref="A5:B6"/>
  </mergeCells>
  <printOptions/>
  <pageMargins left="0.45" right="0.65" top="0.75" bottom="0" header="0.5" footer="0"/>
  <pageSetup horizontalDpi="600" verticalDpi="600" orientation="portrait" paperSize="9" scale="99" r:id="rId1"/>
  <headerFooter alignWithMargins="0">
    <oddHeader>&amp;C&amp;"Times New Roman,Regular"&amp;11- 28 -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J1">
      <selection activeCell="N7" sqref="N7"/>
    </sheetView>
  </sheetViews>
  <sheetFormatPr defaultColWidth="9.140625" defaultRowHeight="12.75"/>
  <cols>
    <col min="1" max="1" width="2.00390625" style="743" customWidth="1"/>
    <col min="2" max="2" width="12.140625" style="743" customWidth="1"/>
    <col min="3" max="3" width="21.00390625" style="743" customWidth="1"/>
    <col min="4" max="4" width="10.57421875" style="743" customWidth="1"/>
    <col min="5" max="6" width="10.140625" style="743" customWidth="1"/>
    <col min="7" max="7" width="10.57421875" style="743" customWidth="1"/>
    <col min="8" max="9" width="10.140625" style="743" customWidth="1"/>
    <col min="10" max="10" width="10.57421875" style="743" customWidth="1"/>
    <col min="11" max="12" width="10.421875" style="743" customWidth="1"/>
    <col min="13" max="14" width="5.00390625" style="743" customWidth="1"/>
    <col min="15" max="16384" width="9.140625" style="743" customWidth="1"/>
  </cols>
  <sheetData>
    <row r="1" spans="1:5" ht="19.5" customHeight="1">
      <c r="A1" s="742" t="s">
        <v>387</v>
      </c>
      <c r="D1" s="744"/>
      <c r="E1" s="744"/>
    </row>
    <row r="2" spans="4:5" ht="12.75" customHeight="1">
      <c r="D2" s="744"/>
      <c r="E2" s="744"/>
    </row>
    <row r="3" spans="1:12" ht="15.75" customHeight="1">
      <c r="A3" s="1457" t="s">
        <v>17</v>
      </c>
      <c r="B3" s="1458"/>
      <c r="C3" s="1459"/>
      <c r="D3" s="745" t="s">
        <v>199</v>
      </c>
      <c r="E3" s="745"/>
      <c r="F3" s="745"/>
      <c r="G3" s="746" t="s">
        <v>200</v>
      </c>
      <c r="H3" s="747"/>
      <c r="I3" s="748"/>
      <c r="J3" s="745" t="s">
        <v>201</v>
      </c>
      <c r="K3" s="747"/>
      <c r="L3" s="749"/>
    </row>
    <row r="4" spans="1:12" ht="15.75" customHeight="1">
      <c r="A4" s="1460"/>
      <c r="B4" s="1461"/>
      <c r="C4" s="1462"/>
      <c r="D4" s="750" t="s">
        <v>5</v>
      </c>
      <c r="E4" s="751" t="s">
        <v>47</v>
      </c>
      <c r="F4" s="750" t="s">
        <v>48</v>
      </c>
      <c r="G4" s="752" t="s">
        <v>5</v>
      </c>
      <c r="H4" s="751" t="s">
        <v>47</v>
      </c>
      <c r="I4" s="750" t="s">
        <v>48</v>
      </c>
      <c r="J4" s="752" t="s">
        <v>5</v>
      </c>
      <c r="K4" s="751" t="s">
        <v>47</v>
      </c>
      <c r="L4" s="753" t="s">
        <v>48</v>
      </c>
    </row>
    <row r="5" spans="1:12" ht="20.25" customHeight="1">
      <c r="A5" s="754" t="s">
        <v>202</v>
      </c>
      <c r="B5" s="755"/>
      <c r="C5" s="756"/>
      <c r="D5" s="757">
        <f aca="true" t="shared" si="0" ref="D5:D16">E5+F5</f>
        <v>1035</v>
      </c>
      <c r="E5" s="758">
        <v>434</v>
      </c>
      <c r="F5" s="758">
        <v>601</v>
      </c>
      <c r="G5" s="757">
        <f aca="true" t="shared" si="1" ref="G5:G13">SUM(H5:I5)</f>
        <v>77</v>
      </c>
      <c r="H5" s="759">
        <v>29</v>
      </c>
      <c r="I5" s="760">
        <v>48</v>
      </c>
      <c r="J5" s="761">
        <f aca="true" t="shared" si="2" ref="J5:J13">SUM(K5:L5)</f>
        <v>1112</v>
      </c>
      <c r="K5" s="759">
        <f>E5+H5</f>
        <v>463</v>
      </c>
      <c r="L5" s="762">
        <f>F5+I5</f>
        <v>649</v>
      </c>
    </row>
    <row r="6" spans="1:12" ht="20.25" customHeight="1">
      <c r="A6" s="763" t="s">
        <v>186</v>
      </c>
      <c r="B6" s="764"/>
      <c r="C6" s="756"/>
      <c r="D6" s="757">
        <f t="shared" si="0"/>
        <v>592</v>
      </c>
      <c r="E6" s="758">
        <v>251</v>
      </c>
      <c r="F6" s="758">
        <v>341</v>
      </c>
      <c r="G6" s="757">
        <f t="shared" si="1"/>
        <v>63</v>
      </c>
      <c r="H6" s="758">
        <v>18</v>
      </c>
      <c r="I6" s="765">
        <v>45</v>
      </c>
      <c r="J6" s="757">
        <f t="shared" si="2"/>
        <v>655</v>
      </c>
      <c r="K6" s="758">
        <f aca="true" t="shared" si="3" ref="K6:K15">E6+H6</f>
        <v>269</v>
      </c>
      <c r="L6" s="766">
        <f aca="true" t="shared" si="4" ref="L6:L12">F6+I6</f>
        <v>386</v>
      </c>
    </row>
    <row r="7" spans="1:12" ht="20.25" customHeight="1">
      <c r="A7" s="763" t="s">
        <v>187</v>
      </c>
      <c r="B7" s="764"/>
      <c r="C7" s="756"/>
      <c r="D7" s="757">
        <f t="shared" si="0"/>
        <v>591</v>
      </c>
      <c r="E7" s="758">
        <v>279</v>
      </c>
      <c r="F7" s="765">
        <v>312</v>
      </c>
      <c r="G7" s="757">
        <f t="shared" si="1"/>
        <v>69</v>
      </c>
      <c r="H7" s="758">
        <v>30</v>
      </c>
      <c r="I7" s="765">
        <v>39</v>
      </c>
      <c r="J7" s="757">
        <f t="shared" si="2"/>
        <v>660</v>
      </c>
      <c r="K7" s="758">
        <f t="shared" si="3"/>
        <v>309</v>
      </c>
      <c r="L7" s="766">
        <f t="shared" si="4"/>
        <v>351</v>
      </c>
    </row>
    <row r="8" spans="1:12" ht="20.25" customHeight="1">
      <c r="A8" s="763" t="s">
        <v>188</v>
      </c>
      <c r="B8" s="764"/>
      <c r="C8" s="756"/>
      <c r="D8" s="757">
        <f t="shared" si="0"/>
        <v>815</v>
      </c>
      <c r="E8" s="758">
        <v>406</v>
      </c>
      <c r="F8" s="765">
        <v>409</v>
      </c>
      <c r="G8" s="757">
        <f t="shared" si="1"/>
        <v>59</v>
      </c>
      <c r="H8" s="758">
        <v>28</v>
      </c>
      <c r="I8" s="765">
        <v>31</v>
      </c>
      <c r="J8" s="757">
        <f t="shared" si="2"/>
        <v>874</v>
      </c>
      <c r="K8" s="758">
        <f t="shared" si="3"/>
        <v>434</v>
      </c>
      <c r="L8" s="766">
        <f t="shared" si="4"/>
        <v>440</v>
      </c>
    </row>
    <row r="9" spans="1:12" ht="20.25" customHeight="1">
      <c r="A9" s="763" t="s">
        <v>189</v>
      </c>
      <c r="B9" s="764"/>
      <c r="C9" s="756"/>
      <c r="D9" s="757">
        <f t="shared" si="0"/>
        <v>448</v>
      </c>
      <c r="E9" s="758">
        <v>184</v>
      </c>
      <c r="F9" s="765">
        <v>264</v>
      </c>
      <c r="G9" s="757">
        <f t="shared" si="1"/>
        <v>50</v>
      </c>
      <c r="H9" s="758">
        <v>15</v>
      </c>
      <c r="I9" s="765">
        <v>35</v>
      </c>
      <c r="J9" s="757">
        <f t="shared" si="2"/>
        <v>498</v>
      </c>
      <c r="K9" s="758">
        <f t="shared" si="3"/>
        <v>199</v>
      </c>
      <c r="L9" s="766">
        <f t="shared" si="4"/>
        <v>299</v>
      </c>
    </row>
    <row r="10" spans="1:12" ht="20.25" customHeight="1">
      <c r="A10" s="763" t="s">
        <v>190</v>
      </c>
      <c r="B10" s="764"/>
      <c r="C10" s="756"/>
      <c r="D10" s="757">
        <f t="shared" si="0"/>
        <v>324</v>
      </c>
      <c r="E10" s="758">
        <v>166</v>
      </c>
      <c r="F10" s="765">
        <v>158</v>
      </c>
      <c r="G10" s="757">
        <f t="shared" si="1"/>
        <v>34</v>
      </c>
      <c r="H10" s="758">
        <v>12</v>
      </c>
      <c r="I10" s="765">
        <v>22</v>
      </c>
      <c r="J10" s="757">
        <f t="shared" si="2"/>
        <v>358</v>
      </c>
      <c r="K10" s="758">
        <f t="shared" si="3"/>
        <v>178</v>
      </c>
      <c r="L10" s="766">
        <f t="shared" si="4"/>
        <v>180</v>
      </c>
    </row>
    <row r="11" spans="1:12" ht="20.25" customHeight="1">
      <c r="A11" s="763" t="s">
        <v>203</v>
      </c>
      <c r="B11" s="764"/>
      <c r="C11" s="756"/>
      <c r="D11" s="757">
        <f t="shared" si="0"/>
        <v>2753</v>
      </c>
      <c r="E11" s="758">
        <v>1145</v>
      </c>
      <c r="F11" s="765">
        <v>1608</v>
      </c>
      <c r="G11" s="757">
        <f t="shared" si="1"/>
        <v>191</v>
      </c>
      <c r="H11" s="758">
        <v>66</v>
      </c>
      <c r="I11" s="765">
        <v>125</v>
      </c>
      <c r="J11" s="757">
        <f t="shared" si="2"/>
        <v>2944</v>
      </c>
      <c r="K11" s="758">
        <f t="shared" si="3"/>
        <v>1211</v>
      </c>
      <c r="L11" s="766">
        <f t="shared" si="4"/>
        <v>1733</v>
      </c>
    </row>
    <row r="12" spans="1:12" ht="20.25" customHeight="1">
      <c r="A12" s="763" t="s">
        <v>192</v>
      </c>
      <c r="B12" s="764"/>
      <c r="C12" s="756"/>
      <c r="D12" s="757">
        <f t="shared" si="0"/>
        <v>488</v>
      </c>
      <c r="E12" s="758">
        <v>179</v>
      </c>
      <c r="F12" s="765">
        <v>309</v>
      </c>
      <c r="G12" s="767">
        <f t="shared" si="1"/>
        <v>46</v>
      </c>
      <c r="H12" s="758">
        <v>16</v>
      </c>
      <c r="I12" s="765">
        <v>30</v>
      </c>
      <c r="J12" s="757">
        <f t="shared" si="2"/>
        <v>534</v>
      </c>
      <c r="K12" s="758">
        <f t="shared" si="3"/>
        <v>195</v>
      </c>
      <c r="L12" s="766">
        <f t="shared" si="4"/>
        <v>339</v>
      </c>
    </row>
    <row r="13" spans="1:12" ht="20.25" customHeight="1">
      <c r="A13" s="763" t="s">
        <v>193</v>
      </c>
      <c r="B13" s="764"/>
      <c r="C13" s="768"/>
      <c r="D13" s="769">
        <f t="shared" si="0"/>
        <v>151</v>
      </c>
      <c r="E13" s="770">
        <v>68</v>
      </c>
      <c r="F13" s="771">
        <v>83</v>
      </c>
      <c r="G13" s="772">
        <f t="shared" si="1"/>
        <v>22</v>
      </c>
      <c r="H13" s="770">
        <v>9</v>
      </c>
      <c r="I13" s="771">
        <v>13</v>
      </c>
      <c r="J13" s="769">
        <f t="shared" si="2"/>
        <v>173</v>
      </c>
      <c r="K13" s="770">
        <f t="shared" si="3"/>
        <v>77</v>
      </c>
      <c r="L13" s="773">
        <f>F13+I13</f>
        <v>96</v>
      </c>
    </row>
    <row r="14" spans="1:14" ht="20.25" customHeight="1">
      <c r="A14" s="774" t="s">
        <v>2</v>
      </c>
      <c r="B14" s="755"/>
      <c r="C14" s="756"/>
      <c r="D14" s="757">
        <f t="shared" si="0"/>
        <v>7197</v>
      </c>
      <c r="E14" s="758">
        <f aca="true" t="shared" si="5" ref="E14:L14">SUM(E5:E13)</f>
        <v>3112</v>
      </c>
      <c r="F14" s="765">
        <f t="shared" si="5"/>
        <v>4085</v>
      </c>
      <c r="G14" s="757">
        <f t="shared" si="5"/>
        <v>611</v>
      </c>
      <c r="H14" s="759">
        <f t="shared" si="5"/>
        <v>223</v>
      </c>
      <c r="I14" s="760">
        <f t="shared" si="5"/>
        <v>388</v>
      </c>
      <c r="J14" s="761">
        <f t="shared" si="5"/>
        <v>7808</v>
      </c>
      <c r="K14" s="759">
        <f t="shared" si="5"/>
        <v>3335</v>
      </c>
      <c r="L14" s="762">
        <f t="shared" si="5"/>
        <v>4473</v>
      </c>
      <c r="N14" s="775"/>
    </row>
    <row r="15" spans="1:12" ht="20.25" customHeight="1">
      <c r="A15" s="776" t="s">
        <v>4</v>
      </c>
      <c r="B15" s="764"/>
      <c r="C15" s="756"/>
      <c r="D15" s="757">
        <f t="shared" si="0"/>
        <v>211</v>
      </c>
      <c r="E15" s="758">
        <v>97</v>
      </c>
      <c r="F15" s="765">
        <v>114</v>
      </c>
      <c r="G15" s="769">
        <f>SUM(H15:I15)</f>
        <v>34</v>
      </c>
      <c r="H15" s="770">
        <v>11</v>
      </c>
      <c r="I15" s="771">
        <v>23</v>
      </c>
      <c r="J15" s="769">
        <f>SUM(K15:L15)</f>
        <v>245</v>
      </c>
      <c r="K15" s="770">
        <f t="shared" si="3"/>
        <v>108</v>
      </c>
      <c r="L15" s="773">
        <f>F15+I15</f>
        <v>137</v>
      </c>
    </row>
    <row r="16" spans="1:12" ht="20.25" customHeight="1">
      <c r="A16" s="777" t="s">
        <v>204</v>
      </c>
      <c r="B16" s="778"/>
      <c r="C16" s="779"/>
      <c r="D16" s="780">
        <f t="shared" si="0"/>
        <v>7408</v>
      </c>
      <c r="E16" s="781">
        <f>E15+E14</f>
        <v>3209</v>
      </c>
      <c r="F16" s="782">
        <f>F15+F14</f>
        <v>4199</v>
      </c>
      <c r="G16" s="780">
        <f>SUM(H16:I16)</f>
        <v>645</v>
      </c>
      <c r="H16" s="781">
        <f>SUM(H14:H15)</f>
        <v>234</v>
      </c>
      <c r="I16" s="782">
        <f>SUM(I14:I15)</f>
        <v>411</v>
      </c>
      <c r="J16" s="780">
        <f>J15+J14</f>
        <v>8053</v>
      </c>
      <c r="K16" s="781">
        <f>SUM(K14:K15)</f>
        <v>3443</v>
      </c>
      <c r="L16" s="783">
        <f>SUM(L14:L15)</f>
        <v>4610</v>
      </c>
    </row>
    <row r="17" spans="1:12" ht="12" customHeight="1">
      <c r="A17" s="764"/>
      <c r="B17" s="764"/>
      <c r="C17" s="764"/>
      <c r="D17" s="784"/>
      <c r="E17" s="784"/>
      <c r="F17" s="784"/>
      <c r="G17" s="784"/>
      <c r="H17" s="784"/>
      <c r="I17" s="784"/>
      <c r="J17" s="784"/>
      <c r="K17" s="784"/>
      <c r="L17" s="784"/>
    </row>
    <row r="18" spans="1:12" ht="19.5" customHeight="1">
      <c r="A18" s="742" t="s">
        <v>388</v>
      </c>
      <c r="B18" s="785"/>
      <c r="C18" s="785"/>
      <c r="D18" s="786"/>
      <c r="E18" s="786"/>
      <c r="F18" s="787"/>
      <c r="G18" s="787"/>
      <c r="H18" s="787"/>
      <c r="I18" s="787"/>
      <c r="J18" s="787"/>
      <c r="K18" s="787"/>
      <c r="L18" s="787"/>
    </row>
    <row r="19" spans="1:12" ht="9.75" customHeight="1">
      <c r="A19" s="785"/>
      <c r="B19" s="785"/>
      <c r="C19" s="785"/>
      <c r="D19" s="786"/>
      <c r="E19" s="786"/>
      <c r="F19" s="787"/>
      <c r="G19" s="787"/>
      <c r="H19" s="787"/>
      <c r="I19" s="787"/>
      <c r="J19" s="787"/>
      <c r="K19" s="787"/>
      <c r="L19" s="787"/>
    </row>
    <row r="20" spans="1:12" ht="16.5" customHeight="1">
      <c r="A20" s="1457" t="s">
        <v>34</v>
      </c>
      <c r="B20" s="1458"/>
      <c r="C20" s="1459"/>
      <c r="D20" s="1454" t="s">
        <v>199</v>
      </c>
      <c r="E20" s="1455"/>
      <c r="F20" s="1456"/>
      <c r="G20" s="1454" t="s">
        <v>200</v>
      </c>
      <c r="H20" s="1455"/>
      <c r="I20" s="1456"/>
      <c r="J20" s="1454" t="s">
        <v>201</v>
      </c>
      <c r="K20" s="1455"/>
      <c r="L20" s="1456"/>
    </row>
    <row r="21" spans="1:12" ht="16.5" customHeight="1">
      <c r="A21" s="1460"/>
      <c r="B21" s="1461"/>
      <c r="C21" s="1462"/>
      <c r="D21" s="789" t="s">
        <v>5</v>
      </c>
      <c r="E21" s="791" t="s">
        <v>47</v>
      </c>
      <c r="F21" s="789" t="s">
        <v>48</v>
      </c>
      <c r="G21" s="788" t="s">
        <v>5</v>
      </c>
      <c r="H21" s="791" t="s">
        <v>47</v>
      </c>
      <c r="I21" s="789" t="s">
        <v>48</v>
      </c>
      <c r="J21" s="792" t="s">
        <v>5</v>
      </c>
      <c r="K21" s="791" t="s">
        <v>47</v>
      </c>
      <c r="L21" s="790" t="s">
        <v>48</v>
      </c>
    </row>
    <row r="22" spans="1:12" ht="22.5" customHeight="1">
      <c r="A22" s="763" t="s">
        <v>35</v>
      </c>
      <c r="B22" s="755"/>
      <c r="C22" s="756"/>
      <c r="D22" s="793">
        <f aca="true" t="shared" si="6" ref="D22:D27">E22+F22</f>
        <v>2261</v>
      </c>
      <c r="E22" s="793">
        <v>977</v>
      </c>
      <c r="F22" s="794">
        <v>1284</v>
      </c>
      <c r="G22" s="795">
        <f aca="true" t="shared" si="7" ref="G22:G27">SUM(H22:I22)</f>
        <v>214</v>
      </c>
      <c r="H22" s="793">
        <v>77</v>
      </c>
      <c r="I22" s="794">
        <v>137</v>
      </c>
      <c r="J22" s="795">
        <f aca="true" t="shared" si="8" ref="J22:J27">SUM(K22:L22)</f>
        <v>2475</v>
      </c>
      <c r="K22" s="793">
        <f aca="true" t="shared" si="9" ref="K22:L27">E22+H22</f>
        <v>1054</v>
      </c>
      <c r="L22" s="796">
        <f t="shared" si="9"/>
        <v>1421</v>
      </c>
    </row>
    <row r="23" spans="1:12" ht="22.5" customHeight="1">
      <c r="A23" s="763" t="s">
        <v>36</v>
      </c>
      <c r="B23" s="764"/>
      <c r="C23" s="756"/>
      <c r="D23" s="797">
        <f t="shared" si="6"/>
        <v>1950</v>
      </c>
      <c r="E23" s="797">
        <v>874</v>
      </c>
      <c r="F23" s="798">
        <v>1076</v>
      </c>
      <c r="G23" s="799">
        <f t="shared" si="7"/>
        <v>177</v>
      </c>
      <c r="H23" s="797">
        <v>70</v>
      </c>
      <c r="I23" s="798">
        <v>107</v>
      </c>
      <c r="J23" s="799">
        <f t="shared" si="8"/>
        <v>2127</v>
      </c>
      <c r="K23" s="797">
        <f t="shared" si="9"/>
        <v>944</v>
      </c>
      <c r="L23" s="800">
        <f t="shared" si="9"/>
        <v>1183</v>
      </c>
    </row>
    <row r="24" spans="1:12" ht="22.5" customHeight="1">
      <c r="A24" s="763" t="s">
        <v>37</v>
      </c>
      <c r="B24" s="764"/>
      <c r="C24" s="756"/>
      <c r="D24" s="797">
        <f t="shared" si="6"/>
        <v>1737</v>
      </c>
      <c r="E24" s="797">
        <v>753</v>
      </c>
      <c r="F24" s="798">
        <v>984</v>
      </c>
      <c r="G24" s="799">
        <f t="shared" si="7"/>
        <v>118</v>
      </c>
      <c r="H24" s="797">
        <v>38</v>
      </c>
      <c r="I24" s="798">
        <v>80</v>
      </c>
      <c r="J24" s="799">
        <f t="shared" si="8"/>
        <v>1855</v>
      </c>
      <c r="K24" s="797">
        <f t="shared" si="9"/>
        <v>791</v>
      </c>
      <c r="L24" s="800">
        <f t="shared" si="9"/>
        <v>1064</v>
      </c>
    </row>
    <row r="25" spans="1:12" ht="22.5" customHeight="1">
      <c r="A25" s="763" t="s">
        <v>55</v>
      </c>
      <c r="B25" s="764"/>
      <c r="C25" s="756"/>
      <c r="D25" s="797">
        <f t="shared" si="6"/>
        <v>1249</v>
      </c>
      <c r="E25" s="797">
        <v>508</v>
      </c>
      <c r="F25" s="798">
        <v>741</v>
      </c>
      <c r="G25" s="799">
        <f t="shared" si="7"/>
        <v>102</v>
      </c>
      <c r="H25" s="797">
        <v>38</v>
      </c>
      <c r="I25" s="798">
        <v>64</v>
      </c>
      <c r="J25" s="799">
        <f t="shared" si="8"/>
        <v>1351</v>
      </c>
      <c r="K25" s="797">
        <f t="shared" si="9"/>
        <v>546</v>
      </c>
      <c r="L25" s="800">
        <f t="shared" si="9"/>
        <v>805</v>
      </c>
    </row>
    <row r="26" spans="1:12" ht="22.5" customHeight="1">
      <c r="A26" s="763" t="s">
        <v>39</v>
      </c>
      <c r="B26" s="764"/>
      <c r="C26" s="756"/>
      <c r="D26" s="797">
        <f t="shared" si="6"/>
        <v>211</v>
      </c>
      <c r="E26" s="797">
        <v>97</v>
      </c>
      <c r="F26" s="798">
        <v>114</v>
      </c>
      <c r="G26" s="799">
        <f t="shared" si="7"/>
        <v>34</v>
      </c>
      <c r="H26" s="797">
        <v>11</v>
      </c>
      <c r="I26" s="801">
        <v>23</v>
      </c>
      <c r="J26" s="799">
        <f t="shared" si="8"/>
        <v>245</v>
      </c>
      <c r="K26" s="802">
        <f t="shared" si="9"/>
        <v>108</v>
      </c>
      <c r="L26" s="800">
        <f t="shared" si="9"/>
        <v>137</v>
      </c>
    </row>
    <row r="27" spans="1:12" ht="22.5" customHeight="1">
      <c r="A27" s="777" t="s">
        <v>56</v>
      </c>
      <c r="B27" s="778"/>
      <c r="C27" s="779"/>
      <c r="D27" s="803">
        <f t="shared" si="6"/>
        <v>7408</v>
      </c>
      <c r="E27" s="803">
        <f>SUM(E22:E26)</f>
        <v>3209</v>
      </c>
      <c r="F27" s="804">
        <f>SUM(F22:F26)</f>
        <v>4199</v>
      </c>
      <c r="G27" s="805">
        <f t="shared" si="7"/>
        <v>645</v>
      </c>
      <c r="H27" s="803">
        <f>SUM(H22:H26)</f>
        <v>234</v>
      </c>
      <c r="I27" s="803">
        <f>SUM(I22:I26)</f>
        <v>411</v>
      </c>
      <c r="J27" s="805">
        <f t="shared" si="8"/>
        <v>8053</v>
      </c>
      <c r="K27" s="803">
        <f t="shared" si="9"/>
        <v>3443</v>
      </c>
      <c r="L27" s="806">
        <f t="shared" si="9"/>
        <v>4610</v>
      </c>
    </row>
    <row r="28" spans="1:14" ht="17.25" customHeight="1">
      <c r="A28" s="807"/>
      <c r="B28" s="808"/>
      <c r="C28" s="809"/>
      <c r="D28" s="810"/>
      <c r="E28" s="810"/>
      <c r="F28" s="810"/>
      <c r="G28" s="744"/>
      <c r="H28" s="744"/>
      <c r="I28" s="809"/>
      <c r="J28" s="809"/>
      <c r="K28" s="809"/>
      <c r="L28" s="744"/>
      <c r="M28" s="744"/>
      <c r="N28" s="744"/>
    </row>
    <row r="29" ht="7.5" customHeight="1"/>
  </sheetData>
  <mergeCells count="5">
    <mergeCell ref="J20:L20"/>
    <mergeCell ref="A3:C4"/>
    <mergeCell ref="A20:C21"/>
    <mergeCell ref="D20:F20"/>
    <mergeCell ref="G20:I20"/>
  </mergeCells>
  <printOptions/>
  <pageMargins left="0.5" right="0.3" top="0.75" bottom="0.42" header="0.5" footer="0.2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V1">
      <selection activeCell="Z5" sqref="Z5"/>
    </sheetView>
  </sheetViews>
  <sheetFormatPr defaultColWidth="9.140625" defaultRowHeight="12.75"/>
  <cols>
    <col min="1" max="1" width="9.140625" style="814" customWidth="1"/>
    <col min="2" max="2" width="8.57421875" style="814" customWidth="1"/>
    <col min="3" max="3" width="10.140625" style="814" customWidth="1"/>
    <col min="4" max="8" width="9.140625" style="814" hidden="1" customWidth="1"/>
    <col min="9" max="9" width="5.140625" style="814" hidden="1" customWidth="1"/>
    <col min="10" max="15" width="11.7109375" style="814" hidden="1" customWidth="1"/>
    <col min="16" max="24" width="10.28125" style="814" customWidth="1"/>
    <col min="25" max="25" width="7.8515625" style="814" customWidth="1"/>
    <col min="26" max="239" width="9.140625" style="894" customWidth="1"/>
    <col min="240" max="16384" width="9.140625" style="814" customWidth="1"/>
  </cols>
  <sheetData>
    <row r="1" spans="1:25" ht="15.75">
      <c r="A1" s="811" t="s">
        <v>386</v>
      </c>
      <c r="B1" s="811"/>
      <c r="C1" s="811"/>
      <c r="D1" s="812"/>
      <c r="E1" s="812"/>
      <c r="F1" s="812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3"/>
    </row>
    <row r="2" spans="1:25" ht="15.75">
      <c r="A2" s="811"/>
      <c r="B2" s="811"/>
      <c r="C2" s="811"/>
      <c r="D2" s="812"/>
      <c r="E2" s="812"/>
      <c r="F2" s="812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3"/>
    </row>
    <row r="3" spans="1:25" ht="16.5" thickBot="1">
      <c r="A3" s="815" t="s">
        <v>205</v>
      </c>
      <c r="B3" s="811"/>
      <c r="C3" s="811"/>
      <c r="D3" s="812"/>
      <c r="E3" s="812"/>
      <c r="F3" s="812"/>
      <c r="G3" s="816"/>
      <c r="H3" s="816"/>
      <c r="I3" s="816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468"/>
    </row>
    <row r="4" spans="1:25" ht="15" customHeight="1">
      <c r="A4" s="1474" t="s">
        <v>206</v>
      </c>
      <c r="B4" s="1475"/>
      <c r="C4" s="1476"/>
      <c r="D4" s="1480">
        <v>2001</v>
      </c>
      <c r="E4" s="1481"/>
      <c r="F4" s="1482"/>
      <c r="G4" s="1468">
        <v>2002</v>
      </c>
      <c r="H4" s="1469"/>
      <c r="I4" s="1470"/>
      <c r="J4" s="1468">
        <v>2003</v>
      </c>
      <c r="K4" s="1469"/>
      <c r="L4" s="1470"/>
      <c r="M4" s="1468">
        <v>2004</v>
      </c>
      <c r="N4" s="1469"/>
      <c r="O4" s="1470"/>
      <c r="P4" s="1468">
        <v>2005</v>
      </c>
      <c r="Q4" s="1469"/>
      <c r="R4" s="1470"/>
      <c r="S4" s="1468">
        <v>2006</v>
      </c>
      <c r="T4" s="1469"/>
      <c r="U4" s="1470"/>
      <c r="V4" s="1468" t="s">
        <v>270</v>
      </c>
      <c r="W4" s="1469"/>
      <c r="X4" s="1470"/>
      <c r="Y4" s="817"/>
    </row>
    <row r="5" spans="1:25" ht="30" customHeight="1">
      <c r="A5" s="1477"/>
      <c r="B5" s="1478"/>
      <c r="C5" s="1479"/>
      <c r="D5" s="818" t="s">
        <v>207</v>
      </c>
      <c r="E5" s="819" t="s">
        <v>208</v>
      </c>
      <c r="F5" s="820" t="s">
        <v>209</v>
      </c>
      <c r="G5" s="821" t="s">
        <v>207</v>
      </c>
      <c r="H5" s="822" t="s">
        <v>208</v>
      </c>
      <c r="I5" s="823" t="s">
        <v>209</v>
      </c>
      <c r="J5" s="821" t="s">
        <v>207</v>
      </c>
      <c r="K5" s="822" t="s">
        <v>208</v>
      </c>
      <c r="L5" s="823" t="s">
        <v>209</v>
      </c>
      <c r="M5" s="821" t="s">
        <v>210</v>
      </c>
      <c r="N5" s="822" t="s">
        <v>208</v>
      </c>
      <c r="O5" s="823" t="s">
        <v>209</v>
      </c>
      <c r="P5" s="821" t="s">
        <v>210</v>
      </c>
      <c r="Q5" s="822" t="s">
        <v>208</v>
      </c>
      <c r="R5" s="823" t="s">
        <v>209</v>
      </c>
      <c r="S5" s="821" t="s">
        <v>210</v>
      </c>
      <c r="T5" s="822" t="s">
        <v>208</v>
      </c>
      <c r="U5" s="823" t="s">
        <v>209</v>
      </c>
      <c r="V5" s="821" t="s">
        <v>210</v>
      </c>
      <c r="W5" s="822" t="s">
        <v>208</v>
      </c>
      <c r="X5" s="823" t="s">
        <v>209</v>
      </c>
      <c r="Y5" s="817"/>
    </row>
    <row r="6" spans="1:25" ht="22.5" customHeight="1">
      <c r="A6" s="1471" t="s">
        <v>109</v>
      </c>
      <c r="B6" s="1472"/>
      <c r="C6" s="1472"/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P6" s="1472"/>
      <c r="Q6" s="1472"/>
      <c r="R6" s="1472"/>
      <c r="S6" s="1472"/>
      <c r="T6" s="1472"/>
      <c r="U6" s="1472"/>
      <c r="V6" s="1472"/>
      <c r="W6" s="1472"/>
      <c r="X6" s="1473"/>
      <c r="Y6" s="817"/>
    </row>
    <row r="7" spans="1:25" ht="15.75" customHeight="1">
      <c r="A7" s="824"/>
      <c r="B7" s="825"/>
      <c r="C7" s="826" t="s">
        <v>5</v>
      </c>
      <c r="D7" s="827">
        <v>14248</v>
      </c>
      <c r="E7" s="828">
        <f>SUM(E8:E9)</f>
        <v>10918</v>
      </c>
      <c r="F7" s="829">
        <f>E7/D7*100</f>
        <v>76.62829870859068</v>
      </c>
      <c r="G7" s="827">
        <v>14527</v>
      </c>
      <c r="H7" s="828">
        <v>10843</v>
      </c>
      <c r="I7" s="829">
        <f>H7/G7*100</f>
        <v>74.64032491223239</v>
      </c>
      <c r="J7" s="827">
        <v>14579</v>
      </c>
      <c r="K7" s="828">
        <v>11007</v>
      </c>
      <c r="L7" s="829">
        <f aca="true" t="shared" si="0" ref="L7:L25">K7/J7*100</f>
        <v>75.499005418753</v>
      </c>
      <c r="M7" s="827">
        <f>SUM(M8:M9)</f>
        <v>14809</v>
      </c>
      <c r="N7" s="828">
        <f>SUM(N8:N9)</f>
        <v>11483</v>
      </c>
      <c r="O7" s="829">
        <f aca="true" t="shared" si="1" ref="O7:O15">N7/M7*100</f>
        <v>77.5406847187521</v>
      </c>
      <c r="P7" s="827">
        <f>SUM(P8:P9)</f>
        <v>15501</v>
      </c>
      <c r="Q7" s="828">
        <f>SUM(Q8:Q9)</f>
        <v>12149</v>
      </c>
      <c r="R7" s="829">
        <f>Q7/P7*100</f>
        <v>78.37558867169861</v>
      </c>
      <c r="S7" s="828">
        <f>SUM(S8:S9)</f>
        <v>16448</v>
      </c>
      <c r="T7" s="828">
        <f>SUM(T8:T9)</f>
        <v>12971</v>
      </c>
      <c r="U7" s="830">
        <f>T7/S7*100</f>
        <v>78.86065175097276</v>
      </c>
      <c r="V7" s="844">
        <f>SUM(V8:V9)</f>
        <v>17343</v>
      </c>
      <c r="W7" s="845">
        <f>SUM(W8:W9)</f>
        <v>13298</v>
      </c>
      <c r="X7" s="846">
        <f>W7/V7*100</f>
        <v>76.6764688923485</v>
      </c>
      <c r="Y7" s="817"/>
    </row>
    <row r="8" spans="1:25" ht="15.75" customHeight="1">
      <c r="A8" s="831" t="s">
        <v>211</v>
      </c>
      <c r="B8" s="832"/>
      <c r="C8" s="826" t="s">
        <v>47</v>
      </c>
      <c r="D8" s="827">
        <v>6564</v>
      </c>
      <c r="E8" s="833">
        <v>4884</v>
      </c>
      <c r="F8" s="829">
        <f>E8/D8*100</f>
        <v>74.40585009140767</v>
      </c>
      <c r="G8" s="827">
        <v>6697</v>
      </c>
      <c r="H8" s="833">
        <v>4844</v>
      </c>
      <c r="I8" s="829">
        <f aca="true" t="shared" si="2" ref="I8:I25">H8/G8*100</f>
        <v>72.33089443034194</v>
      </c>
      <c r="J8" s="827">
        <v>6765</v>
      </c>
      <c r="K8" s="833">
        <v>4936</v>
      </c>
      <c r="L8" s="829">
        <f t="shared" si="0"/>
        <v>72.96378418329638</v>
      </c>
      <c r="M8" s="827">
        <f>M18+M28</f>
        <v>6876</v>
      </c>
      <c r="N8" s="828">
        <f>N18+N28</f>
        <v>5184</v>
      </c>
      <c r="O8" s="829">
        <f t="shared" si="1"/>
        <v>75.39267015706807</v>
      </c>
      <c r="P8" s="827">
        <f>P18+P28</f>
        <v>7316</v>
      </c>
      <c r="Q8" s="828">
        <f>Q18+Q28</f>
        <v>5503</v>
      </c>
      <c r="R8" s="829">
        <f>Q8/P8*100</f>
        <v>75.21869874248223</v>
      </c>
      <c r="S8" s="828">
        <f>S18+S28</f>
        <v>7790</v>
      </c>
      <c r="T8" s="828">
        <f>T18+T28</f>
        <v>5803</v>
      </c>
      <c r="U8" s="830">
        <f>T8/S8*100</f>
        <v>74.49293966623877</v>
      </c>
      <c r="V8" s="827">
        <f>V18+V28</f>
        <v>8213</v>
      </c>
      <c r="W8" s="828">
        <f>W18+W28</f>
        <v>5889</v>
      </c>
      <c r="X8" s="847">
        <f>W8/V8*100</f>
        <v>71.70339705345185</v>
      </c>
      <c r="Y8" s="817"/>
    </row>
    <row r="9" spans="1:25" ht="15.75" customHeight="1">
      <c r="A9" s="834" t="s">
        <v>106</v>
      </c>
      <c r="B9" s="835"/>
      <c r="C9" s="836" t="s">
        <v>48</v>
      </c>
      <c r="D9" s="837">
        <v>7684</v>
      </c>
      <c r="E9" s="838">
        <v>6034</v>
      </c>
      <c r="F9" s="839">
        <f>E9/D9*100</f>
        <v>78.52680895366997</v>
      </c>
      <c r="G9" s="837">
        <v>7830</v>
      </c>
      <c r="H9" s="838">
        <v>5999</v>
      </c>
      <c r="I9" s="839">
        <f t="shared" si="2"/>
        <v>76.61558109833973</v>
      </c>
      <c r="J9" s="837">
        <v>7814</v>
      </c>
      <c r="K9" s="838">
        <v>6071</v>
      </c>
      <c r="L9" s="839">
        <f t="shared" si="0"/>
        <v>77.6938827745073</v>
      </c>
      <c r="M9" s="840">
        <f>M19+M29</f>
        <v>7933</v>
      </c>
      <c r="N9" s="838">
        <f>N19+N29</f>
        <v>6299</v>
      </c>
      <c r="O9" s="839">
        <f t="shared" si="1"/>
        <v>79.4024959031892</v>
      </c>
      <c r="P9" s="840">
        <f>P19+P29</f>
        <v>8185</v>
      </c>
      <c r="Q9" s="838">
        <f>Q19+Q29</f>
        <v>6646</v>
      </c>
      <c r="R9" s="839">
        <f>Q9/P9*100</f>
        <v>81.19731215638363</v>
      </c>
      <c r="S9" s="828">
        <f>S19+S29</f>
        <v>8658</v>
      </c>
      <c r="T9" s="828">
        <f>T19+T29</f>
        <v>7168</v>
      </c>
      <c r="U9" s="830">
        <f>T9/S9*100</f>
        <v>82.79048279048278</v>
      </c>
      <c r="V9" s="827">
        <f>V19+V29</f>
        <v>9130</v>
      </c>
      <c r="W9" s="828">
        <f>W19+W29</f>
        <v>7409</v>
      </c>
      <c r="X9" s="847">
        <f>W9/V9*100</f>
        <v>81.15005476451259</v>
      </c>
      <c r="Y9" s="817"/>
    </row>
    <row r="10" spans="1:25" ht="15.75" customHeight="1">
      <c r="A10" s="841"/>
      <c r="B10" s="842"/>
      <c r="C10" s="826" t="s">
        <v>5</v>
      </c>
      <c r="D10" s="827">
        <f>SUM(D11:D12)</f>
        <v>4215</v>
      </c>
      <c r="E10" s="833">
        <f>SUM(E11:E12)</f>
        <v>3786</v>
      </c>
      <c r="F10" s="829">
        <f aca="true" t="shared" si="3" ref="F10:F15">E10/D10*100</f>
        <v>89.8220640569395</v>
      </c>
      <c r="G10" s="827">
        <v>5631</v>
      </c>
      <c r="H10" s="833">
        <v>4666</v>
      </c>
      <c r="I10" s="829">
        <f t="shared" si="2"/>
        <v>82.86272420529214</v>
      </c>
      <c r="J10" s="827">
        <v>5683</v>
      </c>
      <c r="K10" s="833">
        <v>4691</v>
      </c>
      <c r="L10" s="829">
        <f t="shared" si="0"/>
        <v>82.54443075840226</v>
      </c>
      <c r="M10" s="843">
        <f>SUM(M11:M12)</f>
        <v>4865</v>
      </c>
      <c r="N10" s="833">
        <f>SUM(N11:N12)</f>
        <v>4259</v>
      </c>
      <c r="O10" s="829">
        <f t="shared" si="1"/>
        <v>87.5436793422405</v>
      </c>
      <c r="P10" s="843">
        <f>SUM(P11:P12)</f>
        <v>4737</v>
      </c>
      <c r="Q10" s="833">
        <f>SUM(Q11:Q12)</f>
        <v>4258</v>
      </c>
      <c r="R10" s="829">
        <f aca="true" t="shared" si="4" ref="R10:R15">Q10/P10*100</f>
        <v>89.88811484061642</v>
      </c>
      <c r="S10" s="844">
        <f>SUM(S11:S12)</f>
        <v>5111</v>
      </c>
      <c r="T10" s="845">
        <f>SUM(T11:T12)</f>
        <v>4550</v>
      </c>
      <c r="U10" s="1006">
        <f aca="true" t="shared" si="5" ref="U10:U15">T10/S10*100</f>
        <v>89.02367442770495</v>
      </c>
      <c r="V10" s="844">
        <f>SUM(V11:V12)</f>
        <v>6804</v>
      </c>
      <c r="W10" s="845">
        <f>SUM(W11:W12)</f>
        <v>5680</v>
      </c>
      <c r="X10" s="846">
        <f aca="true" t="shared" si="6" ref="X10:X15">W10/V10*100</f>
        <v>83.48030570252793</v>
      </c>
      <c r="Y10" s="817"/>
    </row>
    <row r="11" spans="1:25" ht="15.75" customHeight="1">
      <c r="A11" s="1463" t="s">
        <v>212</v>
      </c>
      <c r="B11" s="1464"/>
      <c r="C11" s="826" t="s">
        <v>47</v>
      </c>
      <c r="D11" s="827">
        <v>2279</v>
      </c>
      <c r="E11" s="833">
        <v>1986</v>
      </c>
      <c r="F11" s="829">
        <f t="shared" si="3"/>
        <v>87.1434839842036</v>
      </c>
      <c r="G11" s="827">
        <v>3013</v>
      </c>
      <c r="H11" s="833">
        <v>2373</v>
      </c>
      <c r="I11" s="829">
        <f t="shared" si="2"/>
        <v>78.75871224692997</v>
      </c>
      <c r="J11" s="827">
        <v>3049</v>
      </c>
      <c r="K11" s="833">
        <v>2343</v>
      </c>
      <c r="L11" s="829">
        <f t="shared" si="0"/>
        <v>76.84486716956378</v>
      </c>
      <c r="M11" s="843">
        <v>2504</v>
      </c>
      <c r="N11" s="833">
        <v>2092</v>
      </c>
      <c r="O11" s="829">
        <f t="shared" si="1"/>
        <v>83.54632587859425</v>
      </c>
      <c r="P11" s="843">
        <v>2381</v>
      </c>
      <c r="Q11" s="833">
        <v>2065</v>
      </c>
      <c r="R11" s="829">
        <f t="shared" si="4"/>
        <v>86.72826543469131</v>
      </c>
      <c r="S11" s="827">
        <v>2596</v>
      </c>
      <c r="T11" s="828">
        <v>2172</v>
      </c>
      <c r="U11" s="830">
        <f t="shared" si="5"/>
        <v>83.66718027734977</v>
      </c>
      <c r="V11" s="827">
        <v>3336</v>
      </c>
      <c r="W11" s="828">
        <v>2597</v>
      </c>
      <c r="X11" s="847">
        <f t="shared" si="6"/>
        <v>77.84772182254197</v>
      </c>
      <c r="Y11" s="817"/>
    </row>
    <row r="12" spans="1:25" ht="15.75" customHeight="1">
      <c r="A12" s="848"/>
      <c r="B12" s="849" t="s">
        <v>106</v>
      </c>
      <c r="C12" s="836" t="s">
        <v>48</v>
      </c>
      <c r="D12" s="837">
        <v>1936</v>
      </c>
      <c r="E12" s="838">
        <v>1800</v>
      </c>
      <c r="F12" s="839">
        <f t="shared" si="3"/>
        <v>92.97520661157024</v>
      </c>
      <c r="G12" s="837">
        <v>2618</v>
      </c>
      <c r="H12" s="838">
        <v>2293</v>
      </c>
      <c r="I12" s="839">
        <f t="shared" si="2"/>
        <v>87.5859434682964</v>
      </c>
      <c r="J12" s="837">
        <v>2634</v>
      </c>
      <c r="K12" s="838">
        <v>2348</v>
      </c>
      <c r="L12" s="839">
        <f t="shared" si="0"/>
        <v>89.14198936977981</v>
      </c>
      <c r="M12" s="840">
        <v>2361</v>
      </c>
      <c r="N12" s="838">
        <v>2167</v>
      </c>
      <c r="O12" s="839">
        <f t="shared" si="1"/>
        <v>91.78314273612877</v>
      </c>
      <c r="P12" s="840">
        <v>2356</v>
      </c>
      <c r="Q12" s="838">
        <v>2193</v>
      </c>
      <c r="R12" s="839">
        <f t="shared" si="4"/>
        <v>93.08149405772495</v>
      </c>
      <c r="S12" s="837">
        <v>2515</v>
      </c>
      <c r="T12" s="850">
        <v>2378</v>
      </c>
      <c r="U12" s="1007">
        <f t="shared" si="5"/>
        <v>94.55268389662028</v>
      </c>
      <c r="V12" s="837">
        <v>3468</v>
      </c>
      <c r="W12" s="850">
        <v>3083</v>
      </c>
      <c r="X12" s="851">
        <f t="shared" si="6"/>
        <v>88.89850057670127</v>
      </c>
      <c r="Y12" s="817"/>
    </row>
    <row r="13" spans="1:25" ht="15.75" customHeight="1">
      <c r="A13" s="852"/>
      <c r="B13" s="853"/>
      <c r="C13" s="826" t="s">
        <v>5</v>
      </c>
      <c r="D13" s="854">
        <f>D7-D10</f>
        <v>10033</v>
      </c>
      <c r="E13" s="855">
        <f>E7-E10</f>
        <v>7132</v>
      </c>
      <c r="F13" s="829">
        <f t="shared" si="3"/>
        <v>71.08541812020333</v>
      </c>
      <c r="G13" s="854">
        <f>G7-G10</f>
        <v>8896</v>
      </c>
      <c r="H13" s="855">
        <f>H7-H10</f>
        <v>6177</v>
      </c>
      <c r="I13" s="829">
        <f t="shared" si="2"/>
        <v>69.43570143884892</v>
      </c>
      <c r="J13" s="854">
        <f>J7-J10</f>
        <v>8896</v>
      </c>
      <c r="K13" s="855">
        <f>K7-K10</f>
        <v>6316</v>
      </c>
      <c r="L13" s="829">
        <f t="shared" si="0"/>
        <v>70.99820143884892</v>
      </c>
      <c r="M13" s="854">
        <f>M7-M10</f>
        <v>9944</v>
      </c>
      <c r="N13" s="855">
        <f>N7-N10</f>
        <v>7224</v>
      </c>
      <c r="O13" s="829">
        <f t="shared" si="1"/>
        <v>72.64682220434433</v>
      </c>
      <c r="P13" s="854">
        <f>P7-P10</f>
        <v>10764</v>
      </c>
      <c r="Q13" s="855">
        <f>Q7-Q10</f>
        <v>7891</v>
      </c>
      <c r="R13" s="829">
        <f t="shared" si="4"/>
        <v>73.30917874396135</v>
      </c>
      <c r="S13" s="828">
        <f>S7-S10</f>
        <v>11337</v>
      </c>
      <c r="T13" s="828">
        <f>T7-T10</f>
        <v>8421</v>
      </c>
      <c r="U13" s="830">
        <f t="shared" si="5"/>
        <v>74.27890976448795</v>
      </c>
      <c r="V13" s="827">
        <f>V7-V10</f>
        <v>10539</v>
      </c>
      <c r="W13" s="828">
        <f>W7-W10</f>
        <v>7618</v>
      </c>
      <c r="X13" s="847">
        <f t="shared" si="6"/>
        <v>72.28389790302685</v>
      </c>
      <c r="Y13" s="817"/>
    </row>
    <row r="14" spans="1:25" ht="15.75" customHeight="1">
      <c r="A14" s="831" t="s">
        <v>213</v>
      </c>
      <c r="B14" s="832"/>
      <c r="C14" s="826" t="s">
        <v>47</v>
      </c>
      <c r="D14" s="856">
        <f>D8-D11</f>
        <v>4285</v>
      </c>
      <c r="E14" s="855">
        <f>E8-E11</f>
        <v>2898</v>
      </c>
      <c r="F14" s="829">
        <f t="shared" si="3"/>
        <v>67.63127187864643</v>
      </c>
      <c r="G14" s="856">
        <f>G8-G11</f>
        <v>3684</v>
      </c>
      <c r="H14" s="855">
        <f>H8-H11</f>
        <v>2471</v>
      </c>
      <c r="I14" s="829">
        <f t="shared" si="2"/>
        <v>67.07383279044517</v>
      </c>
      <c r="J14" s="856">
        <f>J8-J11</f>
        <v>3716</v>
      </c>
      <c r="K14" s="855">
        <f>K8-K11</f>
        <v>2593</v>
      </c>
      <c r="L14" s="829">
        <f t="shared" si="0"/>
        <v>69.77933261571583</v>
      </c>
      <c r="M14" s="856">
        <f>M8-M11</f>
        <v>4372</v>
      </c>
      <c r="N14" s="855">
        <f>N8-N11</f>
        <v>3092</v>
      </c>
      <c r="O14" s="829">
        <f t="shared" si="1"/>
        <v>70.7227813357731</v>
      </c>
      <c r="P14" s="856">
        <f>P8-P11</f>
        <v>4935</v>
      </c>
      <c r="Q14" s="855">
        <f>Q8-Q11</f>
        <v>3438</v>
      </c>
      <c r="R14" s="829">
        <f t="shared" si="4"/>
        <v>69.66565349544072</v>
      </c>
      <c r="S14" s="828">
        <v>5194</v>
      </c>
      <c r="T14" s="828">
        <v>3631</v>
      </c>
      <c r="U14" s="830">
        <f t="shared" si="5"/>
        <v>69.90758567577974</v>
      </c>
      <c r="V14" s="827">
        <v>4877</v>
      </c>
      <c r="W14" s="828">
        <v>3292</v>
      </c>
      <c r="X14" s="847">
        <f t="shared" si="6"/>
        <v>67.50051261021119</v>
      </c>
      <c r="Y14" s="817"/>
    </row>
    <row r="15" spans="1:25" ht="15.75" customHeight="1">
      <c r="A15" s="834" t="s">
        <v>106</v>
      </c>
      <c r="B15" s="835"/>
      <c r="C15" s="836" t="s">
        <v>48</v>
      </c>
      <c r="D15" s="857">
        <f>D13-D14</f>
        <v>5748</v>
      </c>
      <c r="E15" s="858">
        <f>E13-E14</f>
        <v>4234</v>
      </c>
      <c r="F15" s="839">
        <f t="shared" si="3"/>
        <v>73.66040361864997</v>
      </c>
      <c r="G15" s="857">
        <f>G13-G14</f>
        <v>5212</v>
      </c>
      <c r="H15" s="858">
        <f>H13-H14</f>
        <v>3706</v>
      </c>
      <c r="I15" s="839">
        <f t="shared" si="2"/>
        <v>71.10514198004606</v>
      </c>
      <c r="J15" s="857">
        <f>J13-J14</f>
        <v>5180</v>
      </c>
      <c r="K15" s="858">
        <f>K13-K14</f>
        <v>3723</v>
      </c>
      <c r="L15" s="839">
        <f t="shared" si="0"/>
        <v>71.87258687258688</v>
      </c>
      <c r="M15" s="857">
        <f>M13-M14</f>
        <v>5572</v>
      </c>
      <c r="N15" s="858">
        <f>N13-N14</f>
        <v>4132</v>
      </c>
      <c r="O15" s="839">
        <f t="shared" si="1"/>
        <v>74.1564967695621</v>
      </c>
      <c r="P15" s="857">
        <f>P13-P14</f>
        <v>5829</v>
      </c>
      <c r="Q15" s="858">
        <f>Q13-Q14</f>
        <v>4453</v>
      </c>
      <c r="R15" s="839">
        <f t="shared" si="4"/>
        <v>76.39389260593585</v>
      </c>
      <c r="S15" s="828">
        <v>6143</v>
      </c>
      <c r="T15" s="828">
        <v>4790</v>
      </c>
      <c r="U15" s="830">
        <f t="shared" si="5"/>
        <v>77.97493081556243</v>
      </c>
      <c r="V15" s="837">
        <v>5662</v>
      </c>
      <c r="W15" s="850">
        <v>4326</v>
      </c>
      <c r="X15" s="851">
        <f t="shared" si="6"/>
        <v>76.40409749205229</v>
      </c>
      <c r="Y15" s="817"/>
    </row>
    <row r="16" spans="1:25" ht="22.5" customHeight="1">
      <c r="A16" s="1465" t="s">
        <v>2</v>
      </c>
      <c r="B16" s="1466"/>
      <c r="C16" s="1466"/>
      <c r="D16" s="1466"/>
      <c r="E16" s="1466"/>
      <c r="F16" s="1466"/>
      <c r="G16" s="1466"/>
      <c r="H16" s="1466"/>
      <c r="I16" s="1466"/>
      <c r="J16" s="1466"/>
      <c r="K16" s="1466"/>
      <c r="L16" s="1466"/>
      <c r="M16" s="1466"/>
      <c r="N16" s="1466"/>
      <c r="O16" s="1466"/>
      <c r="P16" s="1466"/>
      <c r="Q16" s="1466"/>
      <c r="R16" s="1466"/>
      <c r="S16" s="1466"/>
      <c r="T16" s="1466"/>
      <c r="U16" s="1466"/>
      <c r="V16" s="1466"/>
      <c r="W16" s="1466"/>
      <c r="X16" s="1467"/>
      <c r="Y16" s="817"/>
    </row>
    <row r="17" spans="1:25" ht="15.75" customHeight="1">
      <c r="A17" s="859"/>
      <c r="B17" s="860"/>
      <c r="C17" s="826" t="s">
        <v>5</v>
      </c>
      <c r="D17" s="856">
        <f aca="true" t="shared" si="7" ref="D17:E19">D7-D27</f>
        <v>13607</v>
      </c>
      <c r="E17" s="855">
        <f t="shared" si="7"/>
        <v>10569</v>
      </c>
      <c r="F17" s="829">
        <f aca="true" t="shared" si="8" ref="F17:F25">E17/D17*100</f>
        <v>77.67325641214082</v>
      </c>
      <c r="G17" s="856">
        <f aca="true" t="shared" si="9" ref="G17:H19">G7-G27</f>
        <v>13997</v>
      </c>
      <c r="H17" s="855">
        <f t="shared" si="9"/>
        <v>10526</v>
      </c>
      <c r="I17" s="829">
        <f t="shared" si="2"/>
        <v>75.2018289633493</v>
      </c>
      <c r="J17" s="856">
        <v>14055</v>
      </c>
      <c r="K17" s="855">
        <v>10699</v>
      </c>
      <c r="L17" s="829">
        <f t="shared" si="0"/>
        <v>76.12237637851298</v>
      </c>
      <c r="M17" s="861">
        <f>SUM(M18:M19)</f>
        <v>14297</v>
      </c>
      <c r="N17" s="862">
        <f>SUM(N18:N19)</f>
        <v>11169</v>
      </c>
      <c r="O17" s="829">
        <f aca="true" t="shared" si="10" ref="O17:O25">N17/M17*100</f>
        <v>78.12128418549345</v>
      </c>
      <c r="P17" s="861">
        <f>SUM(P18:P19)</f>
        <v>14951</v>
      </c>
      <c r="Q17" s="862">
        <f>SUM(Q18:Q19)</f>
        <v>11814</v>
      </c>
      <c r="R17" s="829">
        <f aca="true" t="shared" si="11" ref="R17:R25">Q17/P17*100</f>
        <v>79.0181258778677</v>
      </c>
      <c r="S17" s="828">
        <f>SUM(S18:S19)</f>
        <v>15871</v>
      </c>
      <c r="T17" s="828">
        <f>SUM(T18:T19)</f>
        <v>12565</v>
      </c>
      <c r="U17" s="846">
        <f aca="true" t="shared" si="12" ref="U17:U25">T17/S17*100</f>
        <v>79.16955453342574</v>
      </c>
      <c r="V17" s="828">
        <f>SUM(V18:V19)</f>
        <v>16761</v>
      </c>
      <c r="W17" s="828">
        <f>SUM(W18:W19)</f>
        <v>12866</v>
      </c>
      <c r="X17" s="846">
        <f aca="true" t="shared" si="13" ref="X17:X25">W17/V17*100</f>
        <v>76.76152974166219</v>
      </c>
      <c r="Y17" s="817"/>
    </row>
    <row r="18" spans="1:25" ht="15.75" customHeight="1">
      <c r="A18" s="863" t="s">
        <v>211</v>
      </c>
      <c r="B18" s="864"/>
      <c r="C18" s="826" t="s">
        <v>47</v>
      </c>
      <c r="D18" s="856">
        <f t="shared" si="7"/>
        <v>6277</v>
      </c>
      <c r="E18" s="855">
        <f t="shared" si="7"/>
        <v>4716</v>
      </c>
      <c r="F18" s="829">
        <f t="shared" si="8"/>
        <v>75.13143221284054</v>
      </c>
      <c r="G18" s="856">
        <f t="shared" si="9"/>
        <v>6476</v>
      </c>
      <c r="H18" s="855">
        <f t="shared" si="9"/>
        <v>4712</v>
      </c>
      <c r="I18" s="829">
        <f t="shared" si="2"/>
        <v>72.7609635577517</v>
      </c>
      <c r="J18" s="856">
        <v>6548</v>
      </c>
      <c r="K18" s="855">
        <v>4812</v>
      </c>
      <c r="L18" s="829">
        <f t="shared" si="0"/>
        <v>73.48808796579108</v>
      </c>
      <c r="M18" s="861">
        <f>M21+M24</f>
        <v>6641</v>
      </c>
      <c r="N18" s="862">
        <f>N21+N24</f>
        <v>5038</v>
      </c>
      <c r="O18" s="829">
        <f t="shared" si="10"/>
        <v>75.86206896551724</v>
      </c>
      <c r="P18" s="861">
        <f>P21+P24</f>
        <v>7069</v>
      </c>
      <c r="Q18" s="862">
        <f>Q21+Q24</f>
        <v>5358</v>
      </c>
      <c r="R18" s="829">
        <f t="shared" si="11"/>
        <v>75.79572782571792</v>
      </c>
      <c r="S18" s="828">
        <f>S21+S24</f>
        <v>7531</v>
      </c>
      <c r="T18" s="828">
        <f>T21+T24</f>
        <v>5613</v>
      </c>
      <c r="U18" s="847">
        <f t="shared" si="12"/>
        <v>74.53193467003054</v>
      </c>
      <c r="V18" s="828">
        <f>V21+V24</f>
        <v>7948</v>
      </c>
      <c r="W18" s="828">
        <f>W21+W24</f>
        <v>5704</v>
      </c>
      <c r="X18" s="847">
        <f t="shared" si="13"/>
        <v>71.76648213387016</v>
      </c>
      <c r="Y18" s="817"/>
    </row>
    <row r="19" spans="1:25" ht="15.75" customHeight="1">
      <c r="A19" s="848"/>
      <c r="B19" s="849" t="s">
        <v>106</v>
      </c>
      <c r="C19" s="836" t="s">
        <v>48</v>
      </c>
      <c r="D19" s="857">
        <f t="shared" si="7"/>
        <v>7330</v>
      </c>
      <c r="E19" s="865">
        <f t="shared" si="7"/>
        <v>5853</v>
      </c>
      <c r="F19" s="839">
        <f t="shared" si="8"/>
        <v>79.84993178717599</v>
      </c>
      <c r="G19" s="857">
        <f t="shared" si="9"/>
        <v>7521</v>
      </c>
      <c r="H19" s="865">
        <f t="shared" si="9"/>
        <v>5814</v>
      </c>
      <c r="I19" s="839">
        <f t="shared" si="2"/>
        <v>77.30355005983247</v>
      </c>
      <c r="J19" s="857">
        <v>7507</v>
      </c>
      <c r="K19" s="865">
        <v>5887</v>
      </c>
      <c r="L19" s="839">
        <f t="shared" si="0"/>
        <v>78.42014120154522</v>
      </c>
      <c r="M19" s="866">
        <f>M22+M25</f>
        <v>7656</v>
      </c>
      <c r="N19" s="865">
        <f>N22+N25</f>
        <v>6131</v>
      </c>
      <c r="O19" s="839">
        <f t="shared" si="10"/>
        <v>80.08098223615465</v>
      </c>
      <c r="P19" s="866">
        <f>P22+P25</f>
        <v>7882</v>
      </c>
      <c r="Q19" s="865">
        <f>Q22+Q25</f>
        <v>6456</v>
      </c>
      <c r="R19" s="839">
        <f t="shared" si="11"/>
        <v>81.9081451408272</v>
      </c>
      <c r="S19" s="828">
        <f>S22+S25</f>
        <v>8340</v>
      </c>
      <c r="T19" s="828">
        <f>T22+T25</f>
        <v>6952</v>
      </c>
      <c r="U19" s="851">
        <f t="shared" si="12"/>
        <v>83.35731414868106</v>
      </c>
      <c r="V19" s="828">
        <f>V22+V25</f>
        <v>8813</v>
      </c>
      <c r="W19" s="828">
        <f>W22+W25</f>
        <v>7162</v>
      </c>
      <c r="X19" s="851">
        <f t="shared" si="13"/>
        <v>81.26631113128333</v>
      </c>
      <c r="Y19" s="817"/>
    </row>
    <row r="20" spans="1:25" ht="15.75" customHeight="1">
      <c r="A20" s="841"/>
      <c r="B20" s="842"/>
      <c r="C20" s="826" t="s">
        <v>5</v>
      </c>
      <c r="D20" s="827">
        <f>SUM(D21:D22)</f>
        <v>4215</v>
      </c>
      <c r="E20" s="833">
        <f>SUM(E21:E22)</f>
        <v>3786</v>
      </c>
      <c r="F20" s="829">
        <f t="shared" si="8"/>
        <v>89.8220640569395</v>
      </c>
      <c r="G20" s="827">
        <v>5631</v>
      </c>
      <c r="H20" s="833">
        <v>4666</v>
      </c>
      <c r="I20" s="829">
        <f t="shared" si="2"/>
        <v>82.86272420529214</v>
      </c>
      <c r="J20" s="827">
        <v>5683</v>
      </c>
      <c r="K20" s="833">
        <v>4691</v>
      </c>
      <c r="L20" s="829">
        <f t="shared" si="0"/>
        <v>82.54443075840226</v>
      </c>
      <c r="M20" s="843">
        <f>SUM(M21:M22)</f>
        <v>4865</v>
      </c>
      <c r="N20" s="833">
        <f>SUM(N21:N22)</f>
        <v>4259</v>
      </c>
      <c r="O20" s="829">
        <f t="shared" si="10"/>
        <v>87.5436793422405</v>
      </c>
      <c r="P20" s="843">
        <f>SUM(P21:P22)</f>
        <v>4737</v>
      </c>
      <c r="Q20" s="833">
        <f>SUM(Q21:Q22)</f>
        <v>4258</v>
      </c>
      <c r="R20" s="829">
        <f t="shared" si="11"/>
        <v>89.88811484061642</v>
      </c>
      <c r="S20" s="844">
        <f>SUM(S21:S22)</f>
        <v>5111</v>
      </c>
      <c r="T20" s="845">
        <f>SUM(T21:T22)</f>
        <v>4550</v>
      </c>
      <c r="U20" s="846">
        <f t="shared" si="12"/>
        <v>89.02367442770495</v>
      </c>
      <c r="V20" s="844">
        <f>SUM(V21:V22)</f>
        <v>6804</v>
      </c>
      <c r="W20" s="845">
        <f>SUM(W21:W22)</f>
        <v>5680</v>
      </c>
      <c r="X20" s="846">
        <f t="shared" si="13"/>
        <v>83.48030570252793</v>
      </c>
      <c r="Y20" s="817"/>
    </row>
    <row r="21" spans="1:25" ht="15.75" customHeight="1">
      <c r="A21" s="1463" t="s">
        <v>212</v>
      </c>
      <c r="B21" s="1464"/>
      <c r="C21" s="826" t="s">
        <v>47</v>
      </c>
      <c r="D21" s="827">
        <v>2279</v>
      </c>
      <c r="E21" s="833">
        <v>1986</v>
      </c>
      <c r="F21" s="829">
        <f t="shared" si="8"/>
        <v>87.1434839842036</v>
      </c>
      <c r="G21" s="827">
        <v>3013</v>
      </c>
      <c r="H21" s="833">
        <v>2373</v>
      </c>
      <c r="I21" s="829">
        <f t="shared" si="2"/>
        <v>78.75871224692997</v>
      </c>
      <c r="J21" s="827">
        <v>3049</v>
      </c>
      <c r="K21" s="833">
        <v>2343</v>
      </c>
      <c r="L21" s="829">
        <f t="shared" si="0"/>
        <v>76.84486716956378</v>
      </c>
      <c r="M21" s="843">
        <v>2504</v>
      </c>
      <c r="N21" s="833">
        <v>2092</v>
      </c>
      <c r="O21" s="829">
        <f t="shared" si="10"/>
        <v>83.54632587859425</v>
      </c>
      <c r="P21" s="843">
        <v>2381</v>
      </c>
      <c r="Q21" s="833">
        <v>2065</v>
      </c>
      <c r="R21" s="829">
        <f t="shared" si="11"/>
        <v>86.72826543469131</v>
      </c>
      <c r="S21" s="827">
        <v>2596</v>
      </c>
      <c r="T21" s="828">
        <v>2172</v>
      </c>
      <c r="U21" s="847">
        <f t="shared" si="12"/>
        <v>83.66718027734977</v>
      </c>
      <c r="V21" s="827">
        <v>3336</v>
      </c>
      <c r="W21" s="828">
        <v>2597</v>
      </c>
      <c r="X21" s="847">
        <f t="shared" si="13"/>
        <v>77.84772182254197</v>
      </c>
      <c r="Y21" s="817"/>
    </row>
    <row r="22" spans="1:25" ht="15.75" customHeight="1">
      <c r="A22" s="848"/>
      <c r="B22" s="849" t="s">
        <v>106</v>
      </c>
      <c r="C22" s="836" t="s">
        <v>48</v>
      </c>
      <c r="D22" s="837">
        <v>1936</v>
      </c>
      <c r="E22" s="838">
        <v>1800</v>
      </c>
      <c r="F22" s="839">
        <f t="shared" si="8"/>
        <v>92.97520661157024</v>
      </c>
      <c r="G22" s="837">
        <v>2618</v>
      </c>
      <c r="H22" s="838">
        <v>2293</v>
      </c>
      <c r="I22" s="839">
        <f t="shared" si="2"/>
        <v>87.5859434682964</v>
      </c>
      <c r="J22" s="837">
        <v>2634</v>
      </c>
      <c r="K22" s="838">
        <v>2348</v>
      </c>
      <c r="L22" s="839">
        <f t="shared" si="0"/>
        <v>89.14198936977981</v>
      </c>
      <c r="M22" s="840">
        <v>2361</v>
      </c>
      <c r="N22" s="838">
        <v>2167</v>
      </c>
      <c r="O22" s="839">
        <f t="shared" si="10"/>
        <v>91.78314273612877</v>
      </c>
      <c r="P22" s="840">
        <v>2356</v>
      </c>
      <c r="Q22" s="838">
        <v>2193</v>
      </c>
      <c r="R22" s="839">
        <f t="shared" si="11"/>
        <v>93.08149405772495</v>
      </c>
      <c r="S22" s="837">
        <v>2515</v>
      </c>
      <c r="T22" s="850">
        <v>2378</v>
      </c>
      <c r="U22" s="851">
        <f t="shared" si="12"/>
        <v>94.55268389662028</v>
      </c>
      <c r="V22" s="837">
        <v>3468</v>
      </c>
      <c r="W22" s="850">
        <v>3083</v>
      </c>
      <c r="X22" s="851">
        <f t="shared" si="13"/>
        <v>88.89850057670127</v>
      </c>
      <c r="Y22" s="817"/>
    </row>
    <row r="23" spans="1:25" ht="15.75" customHeight="1">
      <c r="A23" s="852"/>
      <c r="B23" s="853"/>
      <c r="C23" s="826" t="s">
        <v>5</v>
      </c>
      <c r="D23" s="854">
        <f>D17-D20</f>
        <v>9392</v>
      </c>
      <c r="E23" s="855">
        <f>E17-E20</f>
        <v>6783</v>
      </c>
      <c r="F23" s="829">
        <f t="shared" si="8"/>
        <v>72.2210391822828</v>
      </c>
      <c r="G23" s="854">
        <f>G17-G20</f>
        <v>8366</v>
      </c>
      <c r="H23" s="855">
        <f>H17-H20</f>
        <v>5860</v>
      </c>
      <c r="I23" s="829">
        <f t="shared" si="2"/>
        <v>70.04542194597178</v>
      </c>
      <c r="J23" s="854">
        <v>8372</v>
      </c>
      <c r="K23" s="855">
        <f>K17-K20</f>
        <v>6008</v>
      </c>
      <c r="L23" s="829">
        <f t="shared" si="0"/>
        <v>71.76301958910655</v>
      </c>
      <c r="M23" s="867">
        <f>SUM(M24:M25)</f>
        <v>9432</v>
      </c>
      <c r="N23" s="868">
        <f>SUM(N24:N25)</f>
        <v>6910</v>
      </c>
      <c r="O23" s="829">
        <f t="shared" si="10"/>
        <v>73.26123833757421</v>
      </c>
      <c r="P23" s="867">
        <f>SUM(P24:P25)</f>
        <v>10214</v>
      </c>
      <c r="Q23" s="868">
        <f>SUM(Q24:Q25)</f>
        <v>7556</v>
      </c>
      <c r="R23" s="829">
        <f t="shared" si="11"/>
        <v>73.97689445858624</v>
      </c>
      <c r="S23" s="828">
        <f>SUM(S24:S25)</f>
        <v>10760</v>
      </c>
      <c r="T23" s="828">
        <f>SUM(T24:T25)</f>
        <v>8015</v>
      </c>
      <c r="U23" s="846">
        <f t="shared" si="12"/>
        <v>74.48884758364312</v>
      </c>
      <c r="V23" s="828">
        <f>SUM(V24:V25)</f>
        <v>9957</v>
      </c>
      <c r="W23" s="828">
        <f>SUM(W24:W25)</f>
        <v>7186</v>
      </c>
      <c r="X23" s="846">
        <f t="shared" si="13"/>
        <v>72.17033242944662</v>
      </c>
      <c r="Y23" s="817"/>
    </row>
    <row r="24" spans="1:25" ht="15.75" customHeight="1">
      <c r="A24" s="831" t="s">
        <v>213</v>
      </c>
      <c r="B24" s="832"/>
      <c r="C24" s="826" t="s">
        <v>47</v>
      </c>
      <c r="D24" s="856">
        <f>D18-D21</f>
        <v>3998</v>
      </c>
      <c r="E24" s="855">
        <f>E18-E21</f>
        <v>2730</v>
      </c>
      <c r="F24" s="829">
        <f t="shared" si="8"/>
        <v>68.28414207103552</v>
      </c>
      <c r="G24" s="856">
        <f>G18-G21</f>
        <v>3463</v>
      </c>
      <c r="H24" s="855">
        <f>H18-H21</f>
        <v>2339</v>
      </c>
      <c r="I24" s="829">
        <f t="shared" si="2"/>
        <v>67.54259312734622</v>
      </c>
      <c r="J24" s="856">
        <v>3499</v>
      </c>
      <c r="K24" s="855">
        <f>K18-K21</f>
        <v>2469</v>
      </c>
      <c r="L24" s="829">
        <f t="shared" si="0"/>
        <v>70.56301800514433</v>
      </c>
      <c r="M24" s="861">
        <v>4137</v>
      </c>
      <c r="N24" s="862">
        <v>2946</v>
      </c>
      <c r="O24" s="829">
        <f t="shared" si="10"/>
        <v>71.21102248005802</v>
      </c>
      <c r="P24" s="861">
        <f>4935-P28</f>
        <v>4688</v>
      </c>
      <c r="Q24" s="862">
        <f>3438-Q28</f>
        <v>3293</v>
      </c>
      <c r="R24" s="829">
        <f t="shared" si="11"/>
        <v>70.24317406143345</v>
      </c>
      <c r="S24" s="828">
        <v>4935</v>
      </c>
      <c r="T24" s="828">
        <v>3441</v>
      </c>
      <c r="U24" s="847">
        <f t="shared" si="12"/>
        <v>69.72644376899696</v>
      </c>
      <c r="V24" s="828">
        <v>4612</v>
      </c>
      <c r="W24" s="828">
        <v>3107</v>
      </c>
      <c r="X24" s="847">
        <f t="shared" si="13"/>
        <v>67.36773633998266</v>
      </c>
      <c r="Y24" s="817"/>
    </row>
    <row r="25" spans="1:25" ht="15.75" customHeight="1">
      <c r="A25" s="834" t="s">
        <v>106</v>
      </c>
      <c r="B25" s="835"/>
      <c r="C25" s="836" t="s">
        <v>48</v>
      </c>
      <c r="D25" s="857">
        <f>D23-D24</f>
        <v>5394</v>
      </c>
      <c r="E25" s="858">
        <f>E23-E24</f>
        <v>4053</v>
      </c>
      <c r="F25" s="839">
        <f t="shared" si="8"/>
        <v>75.13904338153505</v>
      </c>
      <c r="G25" s="857">
        <f>G23-G24</f>
        <v>4903</v>
      </c>
      <c r="H25" s="858">
        <f>H23-H24</f>
        <v>3521</v>
      </c>
      <c r="I25" s="839">
        <f t="shared" si="2"/>
        <v>71.81317560677137</v>
      </c>
      <c r="J25" s="857">
        <v>4873</v>
      </c>
      <c r="K25" s="858">
        <f>K23-K24</f>
        <v>3539</v>
      </c>
      <c r="L25" s="839">
        <f t="shared" si="0"/>
        <v>72.6246665298584</v>
      </c>
      <c r="M25" s="866">
        <v>5295</v>
      </c>
      <c r="N25" s="865">
        <v>3964</v>
      </c>
      <c r="O25" s="839">
        <f t="shared" si="10"/>
        <v>74.86307837582625</v>
      </c>
      <c r="P25" s="866">
        <f>5829-P29</f>
        <v>5526</v>
      </c>
      <c r="Q25" s="865">
        <f>4453-Q29</f>
        <v>4263</v>
      </c>
      <c r="R25" s="839">
        <f t="shared" si="11"/>
        <v>77.1444082519001</v>
      </c>
      <c r="S25" s="828">
        <v>5825</v>
      </c>
      <c r="T25" s="828">
        <v>4574</v>
      </c>
      <c r="U25" s="851">
        <f t="shared" si="12"/>
        <v>78.52360515021459</v>
      </c>
      <c r="V25" s="828">
        <v>5345</v>
      </c>
      <c r="W25" s="828">
        <v>4079</v>
      </c>
      <c r="X25" s="851">
        <f t="shared" si="13"/>
        <v>76.31431244153416</v>
      </c>
      <c r="Y25" s="817"/>
    </row>
    <row r="26" spans="1:25" ht="22.5" customHeight="1">
      <c r="A26" s="1465" t="s">
        <v>215</v>
      </c>
      <c r="B26" s="1466"/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7"/>
      <c r="Y26" s="817"/>
    </row>
    <row r="27" spans="1:25" ht="15.75" customHeight="1">
      <c r="A27" s="824"/>
      <c r="B27" s="825"/>
      <c r="C27" s="826" t="s">
        <v>5</v>
      </c>
      <c r="D27" s="869">
        <f>SUM(D28,D29)</f>
        <v>641</v>
      </c>
      <c r="E27" s="870">
        <f>SUM(E28,E29)</f>
        <v>349</v>
      </c>
      <c r="F27" s="829">
        <f>E27/D27*100</f>
        <v>54.44617784711389</v>
      </c>
      <c r="G27" s="869">
        <v>530</v>
      </c>
      <c r="H27" s="870">
        <v>317</v>
      </c>
      <c r="I27" s="829">
        <f>H27/G27*100</f>
        <v>59.81132075471698</v>
      </c>
      <c r="J27" s="869">
        <v>524</v>
      </c>
      <c r="K27" s="870">
        <v>308</v>
      </c>
      <c r="L27" s="829">
        <f>K27/J27*100</f>
        <v>58.778625954198475</v>
      </c>
      <c r="M27" s="871">
        <f>SUM(M28:M29)</f>
        <v>512</v>
      </c>
      <c r="N27" s="872">
        <f>SUM(N28:N29)</f>
        <v>314</v>
      </c>
      <c r="O27" s="829">
        <f>N27/M27*100</f>
        <v>61.328125</v>
      </c>
      <c r="P27" s="871">
        <f>SUM(P28:P29)</f>
        <v>550</v>
      </c>
      <c r="Q27" s="872">
        <f>SUM(Q28:Q29)</f>
        <v>335</v>
      </c>
      <c r="R27" s="829">
        <f>Q27/P27*100</f>
        <v>60.909090909090914</v>
      </c>
      <c r="S27" s="828">
        <f>SUM(S28:S29)</f>
        <v>577</v>
      </c>
      <c r="T27" s="828">
        <f>SUM(T28:T29)</f>
        <v>406</v>
      </c>
      <c r="U27" s="846">
        <f>T27/S27*100</f>
        <v>70.36395147313691</v>
      </c>
      <c r="V27" s="828">
        <f>SUM(V28:V29)</f>
        <v>582</v>
      </c>
      <c r="W27" s="828">
        <f>SUM(W28:W29)</f>
        <v>432</v>
      </c>
      <c r="X27" s="846">
        <f>W27/V27*100</f>
        <v>74.22680412371135</v>
      </c>
      <c r="Y27" s="817"/>
    </row>
    <row r="28" spans="1:25" ht="15.75" customHeight="1">
      <c r="A28" s="831" t="s">
        <v>211</v>
      </c>
      <c r="B28" s="832"/>
      <c r="C28" s="826" t="s">
        <v>47</v>
      </c>
      <c r="D28" s="869">
        <v>287</v>
      </c>
      <c r="E28" s="870">
        <v>168</v>
      </c>
      <c r="F28" s="829">
        <f>E28/D28*100</f>
        <v>58.536585365853654</v>
      </c>
      <c r="G28" s="869">
        <v>221</v>
      </c>
      <c r="H28" s="870">
        <v>132</v>
      </c>
      <c r="I28" s="829">
        <f>H28/G28*100</f>
        <v>59.72850678733032</v>
      </c>
      <c r="J28" s="869">
        <v>217</v>
      </c>
      <c r="K28" s="870">
        <v>124</v>
      </c>
      <c r="L28" s="829">
        <f>K28/J28*100</f>
        <v>57.14285714285714</v>
      </c>
      <c r="M28" s="871">
        <v>235</v>
      </c>
      <c r="N28" s="872">
        <v>146</v>
      </c>
      <c r="O28" s="829">
        <f>N28/M28*100</f>
        <v>62.12765957446808</v>
      </c>
      <c r="P28" s="871">
        <v>247</v>
      </c>
      <c r="Q28" s="872">
        <v>145</v>
      </c>
      <c r="R28" s="829">
        <f>Q28/P28*100</f>
        <v>58.70445344129555</v>
      </c>
      <c r="S28" s="828">
        <v>259</v>
      </c>
      <c r="T28" s="828">
        <v>190</v>
      </c>
      <c r="U28" s="847">
        <f>T28/S28*100</f>
        <v>73.35907335907336</v>
      </c>
      <c r="V28" s="828">
        <v>265</v>
      </c>
      <c r="W28" s="828">
        <v>185</v>
      </c>
      <c r="X28" s="847">
        <f>W28/V28*100</f>
        <v>69.81132075471697</v>
      </c>
      <c r="Y28" s="817"/>
    </row>
    <row r="29" spans="1:25" ht="15.75" customHeight="1" thickBot="1">
      <c r="A29" s="873" t="s">
        <v>106</v>
      </c>
      <c r="B29" s="874"/>
      <c r="C29" s="875" t="s">
        <v>48</v>
      </c>
      <c r="D29" s="876">
        <v>354</v>
      </c>
      <c r="E29" s="877">
        <v>181</v>
      </c>
      <c r="F29" s="878">
        <f>E29/D29*100</f>
        <v>51.12994350282486</v>
      </c>
      <c r="G29" s="876">
        <v>309</v>
      </c>
      <c r="H29" s="877">
        <v>185</v>
      </c>
      <c r="I29" s="878">
        <f>H29/G29*100</f>
        <v>59.8705501618123</v>
      </c>
      <c r="J29" s="876">
        <v>307</v>
      </c>
      <c r="K29" s="877">
        <v>184</v>
      </c>
      <c r="L29" s="878">
        <f>K29/J29*100</f>
        <v>59.934853420195445</v>
      </c>
      <c r="M29" s="879">
        <v>277</v>
      </c>
      <c r="N29" s="880">
        <v>168</v>
      </c>
      <c r="O29" s="878">
        <f>N29/M29*100</f>
        <v>60.64981949458483</v>
      </c>
      <c r="P29" s="879">
        <v>303</v>
      </c>
      <c r="Q29" s="880">
        <v>190</v>
      </c>
      <c r="R29" s="878">
        <f>Q29/P29*100</f>
        <v>62.70627062706271</v>
      </c>
      <c r="S29" s="881">
        <v>318</v>
      </c>
      <c r="T29" s="882">
        <v>216</v>
      </c>
      <c r="U29" s="883">
        <f>T29/S29*100</f>
        <v>67.9245283018868</v>
      </c>
      <c r="V29" s="881">
        <v>317</v>
      </c>
      <c r="W29" s="882">
        <v>247</v>
      </c>
      <c r="X29" s="883">
        <f>W29/V29*100</f>
        <v>77.91798107255521</v>
      </c>
      <c r="Y29" s="817"/>
    </row>
    <row r="30" spans="1:25" ht="15.75">
      <c r="A30" s="884" t="s">
        <v>214</v>
      </c>
      <c r="B30" s="884"/>
      <c r="C30" s="884"/>
      <c r="D30" s="884"/>
      <c r="E30" s="884"/>
      <c r="F30" s="885"/>
      <c r="G30" s="886"/>
      <c r="H30" s="886"/>
      <c r="I30" s="886"/>
      <c r="K30" s="886"/>
      <c r="L30" s="886"/>
      <c r="M30" s="886"/>
      <c r="N30" s="886"/>
      <c r="O30" s="886"/>
      <c r="P30" s="886"/>
      <c r="Q30" s="886"/>
      <c r="R30" s="886"/>
      <c r="S30" s="887" t="s">
        <v>216</v>
      </c>
      <c r="T30" s="884"/>
      <c r="U30" s="884"/>
      <c r="V30" s="884"/>
      <c r="W30" s="884"/>
      <c r="X30" s="884"/>
      <c r="Y30" s="884"/>
    </row>
    <row r="31" spans="1:25" ht="12.75">
      <c r="A31" s="884" t="s">
        <v>271</v>
      </c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143"/>
    </row>
    <row r="32" spans="1:25" ht="12.75">
      <c r="A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4"/>
      <c r="X32" s="884"/>
      <c r="Y32" s="143"/>
    </row>
    <row r="33" spans="1:25" ht="16.5" thickBot="1">
      <c r="A33" s="884"/>
      <c r="B33" s="888"/>
      <c r="C33" s="889"/>
      <c r="D33" s="890">
        <v>2515</v>
      </c>
      <c r="E33" s="891">
        <v>5111</v>
      </c>
      <c r="F33" s="892">
        <v>2172</v>
      </c>
      <c r="G33" s="892">
        <v>2378</v>
      </c>
      <c r="H33" s="891">
        <v>4550</v>
      </c>
      <c r="I33" s="893">
        <v>83.66718027734977</v>
      </c>
      <c r="J33" s="893">
        <v>94.55268389662028</v>
      </c>
      <c r="K33" s="893">
        <v>89.02367442770495</v>
      </c>
      <c r="L33" s="887"/>
      <c r="M33" s="887"/>
      <c r="N33" s="887"/>
      <c r="O33" s="887"/>
      <c r="P33" s="884"/>
      <c r="Q33" s="884"/>
      <c r="R33" s="884"/>
      <c r="S33" s="884"/>
      <c r="T33" s="884"/>
      <c r="U33" s="884"/>
      <c r="V33" s="884"/>
      <c r="W33" s="884"/>
      <c r="X33" s="884"/>
      <c r="Y33" s="143"/>
    </row>
    <row r="34" spans="1:25" ht="12.75">
      <c r="A34" s="894"/>
      <c r="B34" s="894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</row>
    <row r="35" spans="1:25" ht="12.75">
      <c r="A35" s="894"/>
      <c r="B35" s="894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</row>
    <row r="36" spans="1:25" ht="12.75">
      <c r="A36" s="894"/>
      <c r="B36" s="894"/>
      <c r="C36" s="894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894"/>
      <c r="Y36" s="894"/>
    </row>
    <row r="37" spans="1:25" ht="12.75">
      <c r="A37" s="894"/>
      <c r="B37" s="894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894"/>
      <c r="X37" s="894"/>
      <c r="Y37" s="894"/>
    </row>
    <row r="38" spans="1:25" ht="12.75">
      <c r="A38" s="894"/>
      <c r="B38" s="894"/>
      <c r="C38" s="894"/>
      <c r="D38" s="894"/>
      <c r="E38" s="894"/>
      <c r="F38" s="894"/>
      <c r="G38" s="894"/>
      <c r="H38" s="894"/>
      <c r="I38" s="894"/>
      <c r="J38" s="894"/>
      <c r="K38" s="894"/>
      <c r="L38" s="894"/>
      <c r="M38" s="894"/>
      <c r="N38" s="894"/>
      <c r="O38" s="894"/>
      <c r="P38" s="894"/>
      <c r="Q38" s="894"/>
      <c r="R38" s="894"/>
      <c r="S38" s="894"/>
      <c r="T38" s="894"/>
      <c r="U38" s="894"/>
      <c r="V38" s="894"/>
      <c r="W38" s="894"/>
      <c r="X38" s="894"/>
      <c r="Y38" s="894"/>
    </row>
    <row r="39" spans="1:25" ht="12.75">
      <c r="A39" s="894"/>
      <c r="B39" s="894"/>
      <c r="C39" s="894"/>
      <c r="D39" s="894"/>
      <c r="E39" s="894"/>
      <c r="F39" s="894"/>
      <c r="G39" s="894"/>
      <c r="H39" s="894"/>
      <c r="I39" s="894"/>
      <c r="J39" s="894"/>
      <c r="K39" s="894"/>
      <c r="L39" s="894"/>
      <c r="M39" s="894"/>
      <c r="N39" s="894"/>
      <c r="O39" s="894"/>
      <c r="P39" s="894"/>
      <c r="Q39" s="894"/>
      <c r="R39" s="894"/>
      <c r="S39" s="894"/>
      <c r="T39" s="894"/>
      <c r="U39" s="894"/>
      <c r="V39" s="894"/>
      <c r="W39" s="894"/>
      <c r="X39" s="894"/>
      <c r="Y39" s="894"/>
    </row>
    <row r="40" spans="1:25" ht="12.75">
      <c r="A40" s="894"/>
      <c r="B40" s="894"/>
      <c r="C40" s="894"/>
      <c r="D40" s="894"/>
      <c r="E40" s="894"/>
      <c r="F40" s="894"/>
      <c r="G40" s="894"/>
      <c r="H40" s="894"/>
      <c r="I40" s="894"/>
      <c r="J40" s="894"/>
      <c r="K40" s="894"/>
      <c r="L40" s="894"/>
      <c r="M40" s="894"/>
      <c r="N40" s="894"/>
      <c r="O40" s="894"/>
      <c r="P40" s="894"/>
      <c r="Q40" s="894"/>
      <c r="R40" s="894"/>
      <c r="S40" s="894"/>
      <c r="T40" s="894"/>
      <c r="U40" s="894"/>
      <c r="V40" s="894"/>
      <c r="W40" s="894"/>
      <c r="X40" s="894"/>
      <c r="Y40" s="894"/>
    </row>
    <row r="41" spans="1:25" ht="12.75">
      <c r="A41" s="894"/>
      <c r="B41" s="894"/>
      <c r="C41" s="894"/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</row>
    <row r="42" spans="1:25" ht="12.75">
      <c r="A42" s="894"/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</row>
    <row r="43" spans="1:25" ht="12.75">
      <c r="A43" s="894"/>
      <c r="B43" s="894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4"/>
      <c r="X43" s="894"/>
      <c r="Y43" s="894"/>
    </row>
    <row r="44" spans="1:25" ht="12.75">
      <c r="A44" s="894"/>
      <c r="B44" s="894"/>
      <c r="C44" s="894"/>
      <c r="D44" s="894"/>
      <c r="E44" s="894"/>
      <c r="F44" s="894"/>
      <c r="G44" s="894"/>
      <c r="H44" s="894"/>
      <c r="I44" s="894"/>
      <c r="J44" s="894"/>
      <c r="K44" s="894"/>
      <c r="L44" s="894"/>
      <c r="M44" s="894"/>
      <c r="N44" s="894"/>
      <c r="O44" s="894"/>
      <c r="P44" s="894"/>
      <c r="Q44" s="894"/>
      <c r="R44" s="894"/>
      <c r="S44" s="894"/>
      <c r="T44" s="894"/>
      <c r="U44" s="894"/>
      <c r="V44" s="894"/>
      <c r="W44" s="894"/>
      <c r="X44" s="894"/>
      <c r="Y44" s="894"/>
    </row>
    <row r="45" spans="1:25" ht="12.75">
      <c r="A45" s="894"/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</row>
    <row r="46" spans="1:25" ht="12.75">
      <c r="A46" s="894"/>
      <c r="B46" s="894"/>
      <c r="C46" s="894"/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</row>
    <row r="47" spans="1:25" ht="12.75">
      <c r="A47" s="894"/>
      <c r="B47" s="894"/>
      <c r="C47" s="894"/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</row>
    <row r="48" spans="1:25" ht="12.75">
      <c r="A48" s="894"/>
      <c r="B48" s="894"/>
      <c r="C48" s="894"/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4"/>
      <c r="P48" s="894"/>
      <c r="Q48" s="894"/>
      <c r="R48" s="894"/>
      <c r="S48" s="894"/>
      <c r="T48" s="894"/>
      <c r="U48" s="894"/>
      <c r="V48" s="894"/>
      <c r="W48" s="894"/>
      <c r="X48" s="894"/>
      <c r="Y48" s="894"/>
    </row>
    <row r="49" s="894" customFormat="1" ht="12.75"/>
    <row r="50" s="894" customFormat="1" ht="12.75"/>
    <row r="51" s="894" customFormat="1" ht="12.75"/>
    <row r="52" s="894" customFormat="1" ht="12.75"/>
    <row r="53" s="894" customFormat="1" ht="12.75"/>
    <row r="54" s="894" customFormat="1" ht="12.75"/>
    <row r="55" s="894" customFormat="1" ht="12.75"/>
    <row r="56" s="894" customFormat="1" ht="12.75"/>
    <row r="57" s="894" customFormat="1" ht="12.75"/>
    <row r="58" s="894" customFormat="1" ht="12.75"/>
    <row r="59" s="894" customFormat="1" ht="12.75"/>
    <row r="60" s="894" customFormat="1" ht="12.75"/>
    <row r="61" s="894" customFormat="1" ht="12.75"/>
    <row r="62" s="894" customFormat="1" ht="12.75"/>
    <row r="63" s="894" customFormat="1" ht="12.75"/>
    <row r="64" s="894" customFormat="1" ht="12.75"/>
    <row r="65" s="894" customFormat="1" ht="12.75"/>
    <row r="66" s="894" customFormat="1" ht="12.75"/>
    <row r="67" s="894" customFormat="1" ht="12.75"/>
    <row r="68" s="894" customFormat="1" ht="12.75"/>
    <row r="69" s="894" customFormat="1" ht="12.75"/>
    <row r="70" s="894" customFormat="1" ht="12.75"/>
    <row r="71" s="894" customFormat="1" ht="12.75"/>
    <row r="72" s="894" customFormat="1" ht="12.75"/>
    <row r="73" s="894" customFormat="1" ht="12.75"/>
    <row r="74" s="894" customFormat="1" ht="12.75"/>
    <row r="75" s="894" customFormat="1" ht="12.75"/>
    <row r="76" s="894" customFormat="1" ht="12.75"/>
    <row r="77" s="894" customFormat="1" ht="12.75"/>
    <row r="78" s="894" customFormat="1" ht="12.75"/>
    <row r="79" s="894" customFormat="1" ht="12.75"/>
    <row r="80" s="894" customFormat="1" ht="12.75"/>
    <row r="81" s="894" customFormat="1" ht="12.75"/>
    <row r="82" s="894" customFormat="1" ht="12.75"/>
    <row r="83" s="894" customFormat="1" ht="12.75"/>
    <row r="84" s="894" customFormat="1" ht="12.75"/>
    <row r="85" s="894" customFormat="1" ht="12.75"/>
    <row r="86" s="894" customFormat="1" ht="12.75"/>
    <row r="87" s="894" customFormat="1" ht="12.75"/>
    <row r="88" s="894" customFormat="1" ht="12.75"/>
    <row r="89" s="894" customFormat="1" ht="12.75"/>
    <row r="90" s="894" customFormat="1" ht="12.75"/>
    <row r="91" s="894" customFormat="1" ht="12.75"/>
    <row r="92" s="894" customFormat="1" ht="12.75"/>
    <row r="93" s="894" customFormat="1" ht="12.75"/>
    <row r="94" s="894" customFormat="1" ht="12.75"/>
    <row r="95" s="894" customFormat="1" ht="12.75"/>
    <row r="96" s="894" customFormat="1" ht="12.75"/>
    <row r="97" s="894" customFormat="1" ht="12.75"/>
    <row r="98" s="894" customFormat="1" ht="12.75"/>
    <row r="99" s="894" customFormat="1" ht="12.75"/>
    <row r="100" s="894" customFormat="1" ht="12.75"/>
    <row r="101" s="894" customFormat="1" ht="12.75"/>
    <row r="102" s="894" customFormat="1" ht="12.75"/>
    <row r="103" s="894" customFormat="1" ht="12.75"/>
    <row r="104" s="894" customFormat="1" ht="12.75"/>
    <row r="105" s="894" customFormat="1" ht="12.75"/>
    <row r="106" s="894" customFormat="1" ht="12.75"/>
    <row r="107" s="894" customFormat="1" ht="12.75"/>
    <row r="108" s="894" customFormat="1" ht="12.75"/>
    <row r="109" s="894" customFormat="1" ht="12.75"/>
    <row r="110" s="894" customFormat="1" ht="12.75"/>
    <row r="111" s="894" customFormat="1" ht="12.75"/>
    <row r="112" s="894" customFormat="1" ht="12.75"/>
    <row r="113" s="894" customFormat="1" ht="12.75"/>
    <row r="114" s="894" customFormat="1" ht="12.75"/>
    <row r="115" s="894" customFormat="1" ht="12.75"/>
    <row r="116" s="894" customFormat="1" ht="12.75"/>
    <row r="117" s="894" customFormat="1" ht="12.75"/>
    <row r="118" s="894" customFormat="1" ht="12.75"/>
    <row r="119" s="894" customFormat="1" ht="12.75"/>
    <row r="120" s="894" customFormat="1" ht="12.75"/>
    <row r="121" s="894" customFormat="1" ht="12.75"/>
    <row r="122" s="894" customFormat="1" ht="12.75"/>
    <row r="123" s="894" customFormat="1" ht="12.75"/>
    <row r="124" s="894" customFormat="1" ht="12.75"/>
    <row r="125" s="894" customFormat="1" ht="12.75"/>
    <row r="126" s="894" customFormat="1" ht="12.75"/>
    <row r="127" s="894" customFormat="1" ht="12.75"/>
    <row r="128" s="894" customFormat="1" ht="12.75"/>
    <row r="129" s="894" customFormat="1" ht="12.75"/>
    <row r="130" s="894" customFormat="1" ht="12.75"/>
    <row r="131" s="894" customFormat="1" ht="12.75"/>
    <row r="132" s="894" customFormat="1" ht="12.75"/>
    <row r="133" s="894" customFormat="1" ht="12.75"/>
    <row r="134" s="894" customFormat="1" ht="12.75"/>
    <row r="135" s="894" customFormat="1" ht="12.75"/>
    <row r="136" s="894" customFormat="1" ht="12.75"/>
    <row r="137" s="894" customFormat="1" ht="12.75"/>
    <row r="138" s="894" customFormat="1" ht="12.75"/>
    <row r="139" s="894" customFormat="1" ht="12.75"/>
    <row r="140" s="894" customFormat="1" ht="12.75"/>
    <row r="141" s="894" customFormat="1" ht="12.75"/>
    <row r="142" s="894" customFormat="1" ht="12.75"/>
    <row r="143" s="894" customFormat="1" ht="12.75"/>
    <row r="144" s="894" customFormat="1" ht="12.75"/>
    <row r="145" s="894" customFormat="1" ht="12.75"/>
    <row r="146" s="894" customFormat="1" ht="12.75"/>
    <row r="147" s="894" customFormat="1" ht="12.75"/>
    <row r="148" s="894" customFormat="1" ht="12.75"/>
    <row r="149" s="894" customFormat="1" ht="12.75"/>
    <row r="150" s="894" customFormat="1" ht="12.75"/>
    <row r="151" s="894" customFormat="1" ht="12.75"/>
    <row r="152" s="894" customFormat="1" ht="12.75"/>
    <row r="153" s="894" customFormat="1" ht="12.75"/>
    <row r="154" s="894" customFormat="1" ht="12.75"/>
    <row r="155" s="894" customFormat="1" ht="12.75"/>
    <row r="156" s="894" customFormat="1" ht="12.75"/>
    <row r="157" s="894" customFormat="1" ht="12.75"/>
    <row r="158" s="894" customFormat="1" ht="12.75"/>
    <row r="159" s="894" customFormat="1" ht="12.75"/>
    <row r="160" s="894" customFormat="1" ht="12.75"/>
    <row r="161" s="894" customFormat="1" ht="12.75"/>
    <row r="162" s="894" customFormat="1" ht="12.75"/>
    <row r="163" s="894" customFormat="1" ht="12.75"/>
    <row r="164" s="894" customFormat="1" ht="12.75"/>
    <row r="165" s="894" customFormat="1" ht="12.75"/>
    <row r="166" s="894" customFormat="1" ht="12.75"/>
    <row r="167" s="894" customFormat="1" ht="12.75"/>
    <row r="168" s="894" customFormat="1" ht="12.75"/>
    <row r="169" s="894" customFormat="1" ht="12.75"/>
    <row r="170" s="894" customFormat="1" ht="12.75"/>
    <row r="171" s="894" customFormat="1" ht="12.75"/>
    <row r="172" s="894" customFormat="1" ht="12.75"/>
    <row r="173" s="894" customFormat="1" ht="12.75"/>
    <row r="174" s="894" customFormat="1" ht="12.75"/>
    <row r="175" s="894" customFormat="1" ht="12.75"/>
    <row r="176" s="894" customFormat="1" ht="12.75"/>
    <row r="177" s="894" customFormat="1" ht="12.75"/>
    <row r="178" s="894" customFormat="1" ht="12.75"/>
    <row r="179" s="894" customFormat="1" ht="12.75"/>
    <row r="180" s="894" customFormat="1" ht="12.75"/>
    <row r="181" s="894" customFormat="1" ht="12.75"/>
    <row r="182" s="894" customFormat="1" ht="12.75"/>
    <row r="183" s="894" customFormat="1" ht="12.75"/>
    <row r="184" s="894" customFormat="1" ht="12.75"/>
    <row r="185" s="894" customFormat="1" ht="12.75"/>
    <row r="186" s="894" customFormat="1" ht="12.75"/>
    <row r="187" s="894" customFormat="1" ht="12.75"/>
    <row r="188" s="894" customFormat="1" ht="12.75"/>
    <row r="189" s="894" customFormat="1" ht="12.75"/>
    <row r="190" s="894" customFormat="1" ht="12.75"/>
    <row r="191" s="894" customFormat="1" ht="12.75"/>
    <row r="192" s="894" customFormat="1" ht="12.75"/>
    <row r="193" s="894" customFormat="1" ht="12.75"/>
    <row r="194" s="894" customFormat="1" ht="12.75"/>
    <row r="195" s="894" customFormat="1" ht="12.75"/>
    <row r="196" s="894" customFormat="1" ht="12.75"/>
    <row r="197" s="894" customFormat="1" ht="12.75"/>
    <row r="198" s="894" customFormat="1" ht="12.75"/>
    <row r="199" s="894" customFormat="1" ht="12.75"/>
    <row r="200" s="894" customFormat="1" ht="12.75"/>
    <row r="201" s="894" customFormat="1" ht="12.75"/>
    <row r="202" s="894" customFormat="1" ht="12.75"/>
    <row r="203" s="894" customFormat="1" ht="12.75"/>
    <row r="204" s="894" customFormat="1" ht="12.75"/>
    <row r="205" s="894" customFormat="1" ht="12.75"/>
    <row r="206" s="894" customFormat="1" ht="12.75"/>
    <row r="207" s="894" customFormat="1" ht="12.75"/>
    <row r="208" s="894" customFormat="1" ht="12.75"/>
    <row r="209" s="894" customFormat="1" ht="12.75"/>
    <row r="210" s="894" customFormat="1" ht="12.75"/>
    <row r="211" s="894" customFormat="1" ht="12.75"/>
    <row r="212" s="894" customFormat="1" ht="12.75"/>
    <row r="213" s="894" customFormat="1" ht="12.75"/>
    <row r="214" s="894" customFormat="1" ht="12.75"/>
    <row r="215" s="894" customFormat="1" ht="12.75"/>
    <row r="216" s="894" customFormat="1" ht="12.75"/>
    <row r="217" s="894" customFormat="1" ht="12.75"/>
    <row r="218" s="894" customFormat="1" ht="12.75"/>
    <row r="219" s="894" customFormat="1" ht="12.75"/>
    <row r="220" s="894" customFormat="1" ht="12.75"/>
    <row r="221" s="894" customFormat="1" ht="12.75"/>
    <row r="222" s="894" customFormat="1" ht="12.75"/>
    <row r="223" s="894" customFormat="1" ht="12.75"/>
    <row r="224" s="894" customFormat="1" ht="12.75"/>
    <row r="225" s="894" customFormat="1" ht="12.75"/>
    <row r="226" s="894" customFormat="1" ht="12.75"/>
    <row r="227" s="894" customFormat="1" ht="12.75"/>
    <row r="228" s="894" customFormat="1" ht="12.75"/>
    <row r="229" s="894" customFormat="1" ht="12.75"/>
    <row r="230" s="894" customFormat="1" ht="12.75"/>
    <row r="231" s="894" customFormat="1" ht="12.75"/>
    <row r="232" s="894" customFormat="1" ht="12.75"/>
    <row r="233" s="894" customFormat="1" ht="12.75"/>
    <row r="234" s="894" customFormat="1" ht="12.75"/>
    <row r="235" s="894" customFormat="1" ht="12.75"/>
    <row r="236" s="894" customFormat="1" ht="12.75"/>
    <row r="237" s="894" customFormat="1" ht="12.75"/>
    <row r="238" s="894" customFormat="1" ht="12.75"/>
    <row r="239" s="894" customFormat="1" ht="12.75"/>
    <row r="240" s="894" customFormat="1" ht="12.75"/>
    <row r="241" s="894" customFormat="1" ht="12.75"/>
    <row r="242" s="894" customFormat="1" ht="12.75"/>
    <row r="243" s="894" customFormat="1" ht="12.75"/>
    <row r="244" s="894" customFormat="1" ht="12.75"/>
    <row r="245" s="894" customFormat="1" ht="12.75"/>
    <row r="246" s="894" customFormat="1" ht="12.75"/>
    <row r="247" s="894" customFormat="1" ht="12.75"/>
    <row r="248" s="894" customFormat="1" ht="12.75"/>
    <row r="249" s="894" customFormat="1" ht="12.75"/>
    <row r="250" s="894" customFormat="1" ht="12.75"/>
    <row r="251" s="894" customFormat="1" ht="12.75"/>
    <row r="252" s="894" customFormat="1" ht="12.75"/>
    <row r="253" s="894" customFormat="1" ht="12.75"/>
    <row r="254" s="894" customFormat="1" ht="12.75"/>
    <row r="255" s="894" customFormat="1" ht="12.75"/>
    <row r="256" s="894" customFormat="1" ht="12.75"/>
    <row r="257" s="894" customFormat="1" ht="12.75"/>
    <row r="258" s="894" customFormat="1" ht="12.75"/>
    <row r="259" s="894" customFormat="1" ht="12.75"/>
    <row r="260" s="894" customFormat="1" ht="12.75"/>
    <row r="261" s="894" customFormat="1" ht="12.75"/>
    <row r="262" s="894" customFormat="1" ht="12.75"/>
    <row r="263" s="894" customFormat="1" ht="12.75"/>
    <row r="264" s="894" customFormat="1" ht="12.75"/>
    <row r="265" s="894" customFormat="1" ht="12.75"/>
    <row r="266" s="894" customFormat="1" ht="12.75"/>
    <row r="267" s="894" customFormat="1" ht="12.75"/>
    <row r="268" s="894" customFormat="1" ht="12.75"/>
    <row r="269" s="894" customFormat="1" ht="12.75"/>
    <row r="270" s="894" customFormat="1" ht="12.75"/>
    <row r="271" s="894" customFormat="1" ht="12.75"/>
    <row r="272" s="894" customFormat="1" ht="12.75"/>
    <row r="273" s="894" customFormat="1" ht="12.75"/>
    <row r="274" s="894" customFormat="1" ht="12.75"/>
    <row r="275" s="894" customFormat="1" ht="12.75"/>
    <row r="276" s="894" customFormat="1" ht="12.75"/>
    <row r="277" s="894" customFormat="1" ht="12.75"/>
    <row r="278" s="894" customFormat="1" ht="12.75"/>
    <row r="279" s="894" customFormat="1" ht="12.75"/>
    <row r="280" s="894" customFormat="1" ht="12.75"/>
    <row r="281" s="894" customFormat="1" ht="12.75"/>
    <row r="282" s="894" customFormat="1" ht="12.75"/>
    <row r="283" s="894" customFormat="1" ht="12.75"/>
    <row r="284" s="894" customFormat="1" ht="12.75"/>
    <row r="285" s="894" customFormat="1" ht="12.75"/>
    <row r="286" s="894" customFormat="1" ht="12.75"/>
    <row r="287" s="894" customFormat="1" ht="12.75"/>
    <row r="288" s="894" customFormat="1" ht="12.75"/>
    <row r="289" s="894" customFormat="1" ht="12.75"/>
    <row r="290" s="894" customFormat="1" ht="12.75"/>
    <row r="291" s="894" customFormat="1" ht="12.75"/>
    <row r="292" s="894" customFormat="1" ht="12.75"/>
    <row r="293" s="894" customFormat="1" ht="12.75"/>
    <row r="294" s="894" customFormat="1" ht="12.75"/>
    <row r="295" s="894" customFormat="1" ht="12.75"/>
    <row r="296" s="894" customFormat="1" ht="12.75"/>
    <row r="297" s="894" customFormat="1" ht="12.75"/>
    <row r="298" s="894" customFormat="1" ht="12.75"/>
    <row r="299" s="894" customFormat="1" ht="12.75"/>
    <row r="300" s="894" customFormat="1" ht="12.75"/>
    <row r="301" s="894" customFormat="1" ht="12.75"/>
    <row r="302" s="894" customFormat="1" ht="12.75"/>
    <row r="303" s="894" customFormat="1" ht="12.75"/>
    <row r="304" s="894" customFormat="1" ht="12.75"/>
    <row r="305" s="894" customFormat="1" ht="12.75"/>
    <row r="306" s="894" customFormat="1" ht="12.75"/>
    <row r="307" s="894" customFormat="1" ht="12.75"/>
    <row r="308" s="894" customFormat="1" ht="12.75"/>
    <row r="309" s="894" customFormat="1" ht="12.75"/>
    <row r="310" s="894" customFormat="1" ht="12.75"/>
    <row r="311" s="894" customFormat="1" ht="12.75"/>
    <row r="312" s="894" customFormat="1" ht="12.75"/>
    <row r="313" s="894" customFormat="1" ht="12.75"/>
    <row r="314" s="894" customFormat="1" ht="12.75"/>
    <row r="315" s="894" customFormat="1" ht="12.75"/>
    <row r="316" s="894" customFormat="1" ht="12.75"/>
    <row r="317" s="894" customFormat="1" ht="12.75"/>
    <row r="318" s="894" customFormat="1" ht="12.75"/>
    <row r="319" s="894" customFormat="1" ht="12.75"/>
    <row r="320" s="894" customFormat="1" ht="12.75"/>
    <row r="321" s="894" customFormat="1" ht="12.75"/>
    <row r="322" s="894" customFormat="1" ht="12.75"/>
    <row r="323" s="894" customFormat="1" ht="12.75"/>
    <row r="324" s="894" customFormat="1" ht="12.75"/>
    <row r="325" s="894" customFormat="1" ht="12.75"/>
    <row r="326" s="894" customFormat="1" ht="12.75"/>
    <row r="327" s="894" customFormat="1" ht="12.75"/>
    <row r="328" s="894" customFormat="1" ht="12.75"/>
    <row r="329" s="894" customFormat="1" ht="12.75"/>
    <row r="330" s="894" customFormat="1" ht="12.75"/>
    <row r="331" s="894" customFormat="1" ht="12.75"/>
    <row r="332" s="894" customFormat="1" ht="12.75"/>
    <row r="333" s="894" customFormat="1" ht="12.75"/>
    <row r="334" s="894" customFormat="1" ht="12.75"/>
    <row r="335" s="894" customFormat="1" ht="12.75"/>
    <row r="336" s="894" customFormat="1" ht="12.75"/>
    <row r="337" s="894" customFormat="1" ht="12.75"/>
    <row r="338" s="894" customFormat="1" ht="12.75"/>
    <row r="339" s="894" customFormat="1" ht="12.75"/>
    <row r="340" s="894" customFormat="1" ht="12.75"/>
    <row r="341" s="894" customFormat="1" ht="12.75"/>
    <row r="342" s="894" customFormat="1" ht="12.75"/>
    <row r="343" s="894" customFormat="1" ht="12.75"/>
    <row r="344" s="894" customFormat="1" ht="12.75"/>
    <row r="345" s="894" customFormat="1" ht="12.75"/>
    <row r="346" s="894" customFormat="1" ht="12.75"/>
    <row r="347" s="894" customFormat="1" ht="12.75"/>
    <row r="348" s="894" customFormat="1" ht="12.75"/>
    <row r="349" s="894" customFormat="1" ht="12.75"/>
    <row r="350" s="894" customFormat="1" ht="12.75"/>
    <row r="351" s="894" customFormat="1" ht="12.75"/>
    <row r="352" s="894" customFormat="1" ht="12.75"/>
    <row r="353" s="894" customFormat="1" ht="12.75"/>
    <row r="354" s="894" customFormat="1" ht="12.75"/>
    <row r="355" s="894" customFormat="1" ht="12.75"/>
    <row r="356" s="894" customFormat="1" ht="12.75"/>
    <row r="357" s="894" customFormat="1" ht="12.75"/>
    <row r="358" s="894" customFormat="1" ht="12.75"/>
    <row r="359" s="894" customFormat="1" ht="12.75"/>
    <row r="360" s="894" customFormat="1" ht="12.75"/>
    <row r="361" s="894" customFormat="1" ht="12.75"/>
    <row r="362" s="894" customFormat="1" ht="12.75"/>
    <row r="363" s="894" customFormat="1" ht="12.75"/>
    <row r="364" s="894" customFormat="1" ht="12.75"/>
    <row r="365" s="894" customFormat="1" ht="12.75"/>
    <row r="366" s="894" customFormat="1" ht="12.75"/>
    <row r="367" s="894" customFormat="1" ht="12.75"/>
    <row r="368" s="894" customFormat="1" ht="12.75"/>
    <row r="369" s="894" customFormat="1" ht="12.75"/>
    <row r="370" s="894" customFormat="1" ht="12.75"/>
    <row r="371" s="894" customFormat="1" ht="12.75"/>
    <row r="372" s="894" customFormat="1" ht="12.75"/>
    <row r="373" s="894" customFormat="1" ht="12.75"/>
    <row r="374" s="894" customFormat="1" ht="12.75"/>
    <row r="375" s="894" customFormat="1" ht="12.75"/>
    <row r="376" s="894" customFormat="1" ht="12.75"/>
    <row r="377" s="894" customFormat="1" ht="12.75"/>
    <row r="378" s="894" customFormat="1" ht="12.75"/>
    <row r="379" s="894" customFormat="1" ht="12.75"/>
    <row r="380" s="894" customFormat="1" ht="12.75"/>
    <row r="381" s="894" customFormat="1" ht="12.75"/>
    <row r="382" s="894" customFormat="1" ht="12.75"/>
    <row r="383" s="894" customFormat="1" ht="12.75"/>
    <row r="384" s="894" customFormat="1" ht="12.75"/>
    <row r="385" s="894" customFormat="1" ht="12.75"/>
    <row r="386" s="894" customFormat="1" ht="12.75"/>
    <row r="387" s="894" customFormat="1" ht="12.75"/>
    <row r="388" s="894" customFormat="1" ht="12.75"/>
    <row r="389" s="894" customFormat="1" ht="12.75"/>
    <row r="390" s="894" customFormat="1" ht="12.75"/>
    <row r="391" s="894" customFormat="1" ht="12.75"/>
    <row r="392" s="894" customFormat="1" ht="12.75"/>
    <row r="393" s="894" customFormat="1" ht="12.75"/>
    <row r="394" s="894" customFormat="1" ht="12.75"/>
    <row r="395" s="894" customFormat="1" ht="12.75"/>
    <row r="396" s="894" customFormat="1" ht="12.75"/>
    <row r="397" s="894" customFormat="1" ht="12.75"/>
    <row r="398" s="894" customFormat="1" ht="12.75"/>
    <row r="399" s="894" customFormat="1" ht="12.75"/>
    <row r="400" s="894" customFormat="1" ht="12.75"/>
    <row r="401" s="894" customFormat="1" ht="12.75"/>
    <row r="402" s="894" customFormat="1" ht="12.75"/>
    <row r="403" s="894" customFormat="1" ht="12.75"/>
    <row r="404" s="894" customFormat="1" ht="12.75"/>
    <row r="405" s="894" customFormat="1" ht="12.75"/>
    <row r="406" s="894" customFormat="1" ht="12.75"/>
    <row r="407" s="894" customFormat="1" ht="12.75"/>
    <row r="408" s="894" customFormat="1" ht="12.75"/>
    <row r="409" s="894" customFormat="1" ht="12.75"/>
    <row r="410" s="894" customFormat="1" ht="12.75"/>
    <row r="411" s="894" customFormat="1" ht="12.75"/>
    <row r="412" s="894" customFormat="1" ht="12.75"/>
    <row r="413" s="894" customFormat="1" ht="12.75"/>
    <row r="414" s="894" customFormat="1" ht="12.75"/>
    <row r="415" s="894" customFormat="1" ht="12.75"/>
    <row r="416" s="894" customFormat="1" ht="12.75"/>
    <row r="417" s="894" customFormat="1" ht="12.75"/>
    <row r="418" s="894" customFormat="1" ht="12.75"/>
    <row r="419" s="894" customFormat="1" ht="12.75"/>
    <row r="420" s="894" customFormat="1" ht="12.75"/>
    <row r="421" s="894" customFormat="1" ht="12.75"/>
    <row r="422" s="894" customFormat="1" ht="12.75"/>
    <row r="423" s="894" customFormat="1" ht="12.75"/>
    <row r="424" s="894" customFormat="1" ht="12.75"/>
    <row r="425" s="894" customFormat="1" ht="12.75"/>
    <row r="426" s="894" customFormat="1" ht="12.75"/>
    <row r="427" s="894" customFormat="1" ht="12.75"/>
    <row r="428" s="894" customFormat="1" ht="12.75"/>
    <row r="429" s="894" customFormat="1" ht="12.75"/>
    <row r="430" s="894" customFormat="1" ht="12.75"/>
    <row r="431" s="894" customFormat="1" ht="12.75"/>
    <row r="432" s="894" customFormat="1" ht="12.75"/>
    <row r="433" s="894" customFormat="1" ht="12.75"/>
    <row r="434" s="894" customFormat="1" ht="12.75"/>
    <row r="435" s="894" customFormat="1" ht="12.75"/>
    <row r="436" s="894" customFormat="1" ht="12.75"/>
    <row r="437" s="894" customFormat="1" ht="12.75"/>
    <row r="438" s="894" customFormat="1" ht="12.75"/>
    <row r="439" s="894" customFormat="1" ht="12.75"/>
    <row r="440" s="894" customFormat="1" ht="12.75"/>
    <row r="441" s="894" customFormat="1" ht="12.75"/>
    <row r="442" s="894" customFormat="1" ht="12.75"/>
    <row r="443" s="894" customFormat="1" ht="12.75"/>
    <row r="444" s="894" customFormat="1" ht="12.75"/>
    <row r="445" s="894" customFormat="1" ht="12.75"/>
    <row r="446" s="894" customFormat="1" ht="12.75"/>
    <row r="447" s="894" customFormat="1" ht="12.75"/>
    <row r="448" s="894" customFormat="1" ht="12.75"/>
    <row r="449" s="894" customFormat="1" ht="12.75"/>
    <row r="450" s="894" customFormat="1" ht="12.75"/>
    <row r="451" s="894" customFormat="1" ht="12.75"/>
    <row r="452" s="894" customFormat="1" ht="12.75"/>
    <row r="453" s="894" customFormat="1" ht="12.75"/>
    <row r="454" s="894" customFormat="1" ht="12.75"/>
    <row r="455" s="894" customFormat="1" ht="12.75"/>
    <row r="456" s="894" customFormat="1" ht="12.75"/>
    <row r="457" s="894" customFormat="1" ht="12.75"/>
    <row r="458" s="894" customFormat="1" ht="12.75"/>
    <row r="459" s="894" customFormat="1" ht="12.75"/>
    <row r="460" s="894" customFormat="1" ht="12.75"/>
    <row r="461" s="894" customFormat="1" ht="12.75"/>
    <row r="462" s="894" customFormat="1" ht="12.75"/>
    <row r="463" s="894" customFormat="1" ht="12.75"/>
    <row r="464" s="894" customFormat="1" ht="12.75"/>
    <row r="465" s="894" customFormat="1" ht="12.75"/>
    <row r="466" s="894" customFormat="1" ht="12.75"/>
    <row r="467" s="894" customFormat="1" ht="12.75"/>
    <row r="468" s="894" customFormat="1" ht="12.75"/>
    <row r="469" s="894" customFormat="1" ht="12.75"/>
    <row r="470" s="894" customFormat="1" ht="12.75"/>
    <row r="471" s="894" customFormat="1" ht="12.75"/>
    <row r="472" s="894" customFormat="1" ht="12.75"/>
    <row r="473" s="894" customFormat="1" ht="12.75"/>
    <row r="474" s="894" customFormat="1" ht="12.75"/>
    <row r="475" s="894" customFormat="1" ht="12.75"/>
    <row r="476" s="894" customFormat="1" ht="12.75"/>
    <row r="477" s="894" customFormat="1" ht="12.75"/>
    <row r="478" s="894" customFormat="1" ht="12.75"/>
    <row r="479" s="894" customFormat="1" ht="12.75"/>
    <row r="480" s="894" customFormat="1" ht="12.75"/>
    <row r="481" s="894" customFormat="1" ht="12.75"/>
    <row r="482" s="894" customFormat="1" ht="12.75"/>
    <row r="483" s="894" customFormat="1" ht="12.75"/>
    <row r="484" s="894" customFormat="1" ht="12.75"/>
    <row r="485" s="894" customFormat="1" ht="12.75"/>
    <row r="486" s="894" customFormat="1" ht="12.75"/>
    <row r="487" s="894" customFormat="1" ht="12.75"/>
    <row r="488" s="894" customFormat="1" ht="12.75"/>
    <row r="489" s="894" customFormat="1" ht="12.75"/>
    <row r="490" s="894" customFormat="1" ht="12.75"/>
    <row r="491" s="894" customFormat="1" ht="12.75"/>
    <row r="492" s="894" customFormat="1" ht="12.75"/>
    <row r="493" s="894" customFormat="1" ht="12.75"/>
    <row r="494" s="894" customFormat="1" ht="12.75"/>
    <row r="495" s="894" customFormat="1" ht="12.75"/>
    <row r="496" s="894" customFormat="1" ht="12.75"/>
    <row r="497" s="894" customFormat="1" ht="12.75"/>
    <row r="498" s="894" customFormat="1" ht="12.75"/>
    <row r="499" s="894" customFormat="1" ht="12.75"/>
    <row r="500" s="894" customFormat="1" ht="12.75"/>
    <row r="501" s="894" customFormat="1" ht="12.75"/>
    <row r="502" s="894" customFormat="1" ht="12.75"/>
    <row r="503" s="894" customFormat="1" ht="12.75"/>
    <row r="504" s="894" customFormat="1" ht="12.75"/>
    <row r="505" s="894" customFormat="1" ht="12.75"/>
    <row r="506" s="894" customFormat="1" ht="12.75"/>
    <row r="507" s="894" customFormat="1" ht="12.75"/>
    <row r="508" s="894" customFormat="1" ht="12.75"/>
    <row r="509" s="894" customFormat="1" ht="12.75"/>
    <row r="510" s="894" customFormat="1" ht="12.75"/>
    <row r="511" s="894" customFormat="1" ht="12.75"/>
    <row r="512" s="894" customFormat="1" ht="12.75"/>
    <row r="513" s="894" customFormat="1" ht="12.75"/>
    <row r="514" s="894" customFormat="1" ht="12.75"/>
    <row r="515" s="894" customFormat="1" ht="12.75"/>
    <row r="516" s="894" customFormat="1" ht="12.75"/>
    <row r="517" s="894" customFormat="1" ht="12.75"/>
    <row r="518" s="894" customFormat="1" ht="12.75"/>
    <row r="519" s="894" customFormat="1" ht="12.75"/>
    <row r="520" s="894" customFormat="1" ht="12.75"/>
    <row r="521" s="894" customFormat="1" ht="12.75"/>
    <row r="522" s="894" customFormat="1" ht="12.75"/>
    <row r="523" s="894" customFormat="1" ht="12.75"/>
    <row r="524" s="894" customFormat="1" ht="12.75"/>
    <row r="525" s="894" customFormat="1" ht="12.75"/>
    <row r="526" s="894" customFormat="1" ht="12.75"/>
    <row r="527" s="894" customFormat="1" ht="12.75"/>
    <row r="528" s="894" customFormat="1" ht="12.75"/>
    <row r="529" s="894" customFormat="1" ht="12.75"/>
    <row r="530" s="894" customFormat="1" ht="12.75"/>
    <row r="531" s="894" customFormat="1" ht="12.75"/>
    <row r="532" s="894" customFormat="1" ht="12.75"/>
    <row r="533" s="894" customFormat="1" ht="12.75"/>
    <row r="534" s="894" customFormat="1" ht="12.75"/>
    <row r="535" s="894" customFormat="1" ht="12.75"/>
    <row r="536" s="894" customFormat="1" ht="12.75"/>
    <row r="537" s="894" customFormat="1" ht="12.75"/>
    <row r="538" s="894" customFormat="1" ht="12.75"/>
    <row r="539" s="894" customFormat="1" ht="12.75"/>
    <row r="540" s="894" customFormat="1" ht="12.75"/>
    <row r="541" s="894" customFormat="1" ht="12.75"/>
    <row r="542" s="894" customFormat="1" ht="12.75"/>
    <row r="543" s="894" customFormat="1" ht="12.75"/>
    <row r="544" s="894" customFormat="1" ht="12.75"/>
    <row r="545" s="894" customFormat="1" ht="12.75"/>
    <row r="546" s="894" customFormat="1" ht="12.75"/>
    <row r="547" s="894" customFormat="1" ht="12.75"/>
    <row r="548" s="894" customFormat="1" ht="12.75"/>
    <row r="549" s="894" customFormat="1" ht="12.75"/>
    <row r="550" s="894" customFormat="1" ht="12.75"/>
    <row r="551" s="894" customFormat="1" ht="12.75"/>
    <row r="552" s="894" customFormat="1" ht="12.75"/>
    <row r="553" s="894" customFormat="1" ht="12.75"/>
    <row r="554" s="894" customFormat="1" ht="12.75"/>
    <row r="555" s="894" customFormat="1" ht="12.75"/>
    <row r="556" s="894" customFormat="1" ht="12.75"/>
    <row r="557" s="894" customFormat="1" ht="12.75"/>
    <row r="558" s="894" customFormat="1" ht="12.75"/>
    <row r="559" s="894" customFormat="1" ht="12.75"/>
    <row r="560" s="894" customFormat="1" ht="12.75"/>
    <row r="561" s="894" customFormat="1" ht="12.75"/>
    <row r="562" s="894" customFormat="1" ht="12.75"/>
    <row r="563" s="894" customFormat="1" ht="12.75"/>
    <row r="564" s="894" customFormat="1" ht="12.75"/>
    <row r="565" s="894" customFormat="1" ht="12.75"/>
    <row r="566" s="894" customFormat="1" ht="12.75"/>
    <row r="567" s="894" customFormat="1" ht="12.75"/>
    <row r="568" s="894" customFormat="1" ht="12.75"/>
    <row r="569" s="894" customFormat="1" ht="12.75"/>
    <row r="570" s="894" customFormat="1" ht="12.75"/>
    <row r="571" s="894" customFormat="1" ht="12.75"/>
    <row r="572" s="894" customFormat="1" ht="12.75"/>
    <row r="573" s="894" customFormat="1" ht="12.75"/>
    <row r="574" s="894" customFormat="1" ht="12.75"/>
    <row r="575" s="894" customFormat="1" ht="12.75"/>
    <row r="576" s="894" customFormat="1" ht="12.75"/>
    <row r="577" s="894" customFormat="1" ht="12.75"/>
    <row r="578" s="894" customFormat="1" ht="12.75"/>
    <row r="579" s="894" customFormat="1" ht="12.75"/>
    <row r="580" s="894" customFormat="1" ht="12.75"/>
    <row r="581" s="894" customFormat="1" ht="12.75"/>
    <row r="582" s="894" customFormat="1" ht="12.75"/>
    <row r="583" s="894" customFormat="1" ht="12.75"/>
    <row r="584" s="894" customFormat="1" ht="12.75"/>
    <row r="585" s="894" customFormat="1" ht="12.75"/>
    <row r="586" s="894" customFormat="1" ht="12.75"/>
    <row r="587" s="894" customFormat="1" ht="12.75"/>
    <row r="588" s="894" customFormat="1" ht="12.75"/>
    <row r="589" s="894" customFormat="1" ht="12.75"/>
    <row r="590" s="894" customFormat="1" ht="12.75"/>
    <row r="591" s="894" customFormat="1" ht="12.75"/>
    <row r="592" s="894" customFormat="1" ht="12.75"/>
    <row r="593" s="894" customFormat="1" ht="12.75"/>
    <row r="594" s="894" customFormat="1" ht="12.75"/>
    <row r="595" s="894" customFormat="1" ht="12.75"/>
    <row r="596" s="894" customFormat="1" ht="12.75"/>
    <row r="597" s="894" customFormat="1" ht="12.75"/>
    <row r="598" s="894" customFormat="1" ht="12.75"/>
    <row r="599" s="894" customFormat="1" ht="12.75"/>
    <row r="600" s="894" customFormat="1" ht="12.75"/>
    <row r="601" s="894" customFormat="1" ht="12.75"/>
    <row r="602" s="894" customFormat="1" ht="12.75"/>
    <row r="603" s="894" customFormat="1" ht="12.75"/>
    <row r="604" s="894" customFormat="1" ht="12.75"/>
    <row r="605" s="894" customFormat="1" ht="12.75"/>
    <row r="606" s="894" customFormat="1" ht="12.75"/>
    <row r="607" s="894" customFormat="1" ht="12.75"/>
    <row r="608" s="894" customFormat="1" ht="12.75"/>
    <row r="609" s="894" customFormat="1" ht="12.75"/>
    <row r="610" s="894" customFormat="1" ht="12.75"/>
    <row r="611" s="894" customFormat="1" ht="12.75"/>
    <row r="612" s="894" customFormat="1" ht="12.75"/>
    <row r="613" s="894" customFormat="1" ht="12.75"/>
    <row r="614" s="894" customFormat="1" ht="12.75"/>
    <row r="615" s="894" customFormat="1" ht="12.75"/>
    <row r="616" s="894" customFormat="1" ht="12.75"/>
    <row r="617" s="894" customFormat="1" ht="12.75"/>
    <row r="618" s="894" customFormat="1" ht="12.75"/>
    <row r="619" s="894" customFormat="1" ht="12.75"/>
    <row r="620" s="894" customFormat="1" ht="12.75"/>
    <row r="621" s="894" customFormat="1" ht="12.75"/>
    <row r="622" s="894" customFormat="1" ht="12.75"/>
    <row r="623" s="894" customFormat="1" ht="12.75"/>
    <row r="624" s="894" customFormat="1" ht="12.75"/>
    <row r="625" s="894" customFormat="1" ht="12.75"/>
    <row r="626" s="894" customFormat="1" ht="12.75"/>
    <row r="627" s="894" customFormat="1" ht="12.75"/>
    <row r="628" s="894" customFormat="1" ht="12.75"/>
    <row r="629" s="894" customFormat="1" ht="12.75"/>
    <row r="630" s="894" customFormat="1" ht="12.75"/>
    <row r="631" s="894" customFormat="1" ht="12.75"/>
    <row r="632" s="894" customFormat="1" ht="12.75"/>
    <row r="633" s="894" customFormat="1" ht="12.75"/>
    <row r="634" s="894" customFormat="1" ht="12.75"/>
    <row r="635" s="894" customFormat="1" ht="12.75"/>
    <row r="636" s="894" customFormat="1" ht="12.75"/>
    <row r="637" s="894" customFormat="1" ht="12.75"/>
    <row r="638" s="894" customFormat="1" ht="12.75"/>
    <row r="639" s="894" customFormat="1" ht="12.75"/>
    <row r="640" s="894" customFormat="1" ht="12.75"/>
    <row r="641" s="894" customFormat="1" ht="12.75"/>
    <row r="642" s="894" customFormat="1" ht="12.75"/>
    <row r="643" s="894" customFormat="1" ht="12.75"/>
    <row r="644" s="894" customFormat="1" ht="12.75"/>
    <row r="645" s="894" customFormat="1" ht="12.75"/>
    <row r="646" s="894" customFormat="1" ht="12.75"/>
    <row r="647" s="894" customFormat="1" ht="12.75"/>
    <row r="648" s="894" customFormat="1" ht="12.75"/>
    <row r="649" s="894" customFormat="1" ht="12.75"/>
    <row r="650" s="894" customFormat="1" ht="12.75"/>
    <row r="651" s="894" customFormat="1" ht="12.75"/>
    <row r="652" s="894" customFormat="1" ht="12.75"/>
    <row r="653" s="894" customFormat="1" ht="12.75"/>
    <row r="654" s="894" customFormat="1" ht="12.75"/>
    <row r="655" s="894" customFormat="1" ht="12.75"/>
    <row r="656" s="894" customFormat="1" ht="12.75"/>
    <row r="657" s="894" customFormat="1" ht="12.75"/>
    <row r="658" s="894" customFormat="1" ht="12.75"/>
    <row r="659" s="894" customFormat="1" ht="12.75"/>
    <row r="660" s="894" customFormat="1" ht="12.75"/>
    <row r="661" s="894" customFormat="1" ht="12.75"/>
    <row r="662" s="894" customFormat="1" ht="12.75"/>
    <row r="663" s="894" customFormat="1" ht="12.75"/>
    <row r="664" s="894" customFormat="1" ht="12.75"/>
    <row r="665" s="894" customFormat="1" ht="12.75"/>
    <row r="666" s="894" customFormat="1" ht="12.75"/>
    <row r="667" s="894" customFormat="1" ht="12.75"/>
    <row r="668" s="894" customFormat="1" ht="12.75"/>
    <row r="669" s="894" customFormat="1" ht="12.75"/>
    <row r="670" s="894" customFormat="1" ht="12.75"/>
    <row r="671" s="894" customFormat="1" ht="12.75"/>
    <row r="672" s="894" customFormat="1" ht="12.75"/>
    <row r="673" s="894" customFormat="1" ht="12.75"/>
    <row r="674" s="894" customFormat="1" ht="12.75"/>
    <row r="675" s="894" customFormat="1" ht="12.75"/>
    <row r="676" s="894" customFormat="1" ht="12.75"/>
    <row r="677" s="894" customFormat="1" ht="12.75"/>
    <row r="678" s="894" customFormat="1" ht="12.75"/>
    <row r="679" s="894" customFormat="1" ht="12.75"/>
    <row r="680" s="894" customFormat="1" ht="12.75"/>
    <row r="681" s="894" customFormat="1" ht="12.75"/>
    <row r="682" s="894" customFormat="1" ht="12.75"/>
    <row r="683" s="894" customFormat="1" ht="12.75"/>
    <row r="684" s="894" customFormat="1" ht="12.75"/>
    <row r="685" s="894" customFormat="1" ht="12.75"/>
    <row r="686" s="894" customFormat="1" ht="12.75"/>
    <row r="687" s="894" customFormat="1" ht="12.75"/>
    <row r="688" s="894" customFormat="1" ht="12.75"/>
    <row r="689" s="894" customFormat="1" ht="12.75"/>
    <row r="690" s="894" customFormat="1" ht="12.75"/>
    <row r="691" s="894" customFormat="1" ht="12.75"/>
    <row r="692" s="894" customFormat="1" ht="12.75"/>
    <row r="693" s="894" customFormat="1" ht="12.75"/>
    <row r="694" s="894" customFormat="1" ht="12.75"/>
    <row r="695" s="894" customFormat="1" ht="12.75"/>
    <row r="696" s="894" customFormat="1" ht="12.75"/>
    <row r="697" s="894" customFormat="1" ht="12.75"/>
    <row r="698" s="894" customFormat="1" ht="12.75"/>
    <row r="699" s="894" customFormat="1" ht="12.75"/>
    <row r="700" s="894" customFormat="1" ht="12.75"/>
    <row r="701" s="894" customFormat="1" ht="12.75"/>
    <row r="702" s="894" customFormat="1" ht="12.75"/>
    <row r="703" s="894" customFormat="1" ht="12.75"/>
    <row r="704" s="894" customFormat="1" ht="12.75"/>
    <row r="705" s="894" customFormat="1" ht="12.75"/>
    <row r="706" s="894" customFormat="1" ht="12.75"/>
    <row r="707" s="894" customFormat="1" ht="12.75"/>
    <row r="708" s="894" customFormat="1" ht="12.75"/>
    <row r="709" s="894" customFormat="1" ht="12.75"/>
    <row r="710" s="894" customFormat="1" ht="12.75"/>
    <row r="711" s="894" customFormat="1" ht="12.75"/>
    <row r="712" s="894" customFormat="1" ht="12.75"/>
    <row r="713" s="894" customFormat="1" ht="12.75"/>
    <row r="714" s="894" customFormat="1" ht="12.75"/>
    <row r="715" s="894" customFormat="1" ht="12.75"/>
    <row r="716" s="894" customFormat="1" ht="12.75"/>
    <row r="717" s="894" customFormat="1" ht="12.75"/>
    <row r="718" s="894" customFormat="1" ht="12.75"/>
    <row r="719" s="894" customFormat="1" ht="12.75"/>
    <row r="720" s="894" customFormat="1" ht="12.75"/>
    <row r="721" s="894" customFormat="1" ht="12.75"/>
    <row r="722" s="894" customFormat="1" ht="12.75"/>
    <row r="723" s="894" customFormat="1" ht="12.75"/>
    <row r="724" s="894" customFormat="1" ht="12.75"/>
    <row r="725" s="894" customFormat="1" ht="12.75"/>
    <row r="726" s="894" customFormat="1" ht="12.75"/>
    <row r="727" s="894" customFormat="1" ht="12.75"/>
    <row r="728" s="894" customFormat="1" ht="12.75"/>
    <row r="729" s="894" customFormat="1" ht="12.75"/>
    <row r="730" s="894" customFormat="1" ht="12.75"/>
    <row r="731" s="894" customFormat="1" ht="12.75"/>
    <row r="732" s="894" customFormat="1" ht="12.75"/>
    <row r="733" s="894" customFormat="1" ht="12.75"/>
    <row r="734" s="894" customFormat="1" ht="12.75"/>
    <row r="735" s="894" customFormat="1" ht="12.75"/>
    <row r="736" s="894" customFormat="1" ht="12.75"/>
    <row r="737" s="894" customFormat="1" ht="12.75"/>
    <row r="738" s="894" customFormat="1" ht="12.75"/>
    <row r="739" s="894" customFormat="1" ht="12.75"/>
    <row r="740" s="894" customFormat="1" ht="12.75"/>
    <row r="741" s="894" customFormat="1" ht="12.75"/>
    <row r="742" s="894" customFormat="1" ht="12.75"/>
    <row r="743" s="894" customFormat="1" ht="12.75"/>
    <row r="744" s="894" customFormat="1" ht="12.75"/>
    <row r="745" s="894" customFormat="1" ht="12.75"/>
    <row r="746" s="894" customFormat="1" ht="12.75"/>
    <row r="747" s="894" customFormat="1" ht="12.75"/>
    <row r="748" s="894" customFormat="1" ht="12.75"/>
    <row r="749" s="894" customFormat="1" ht="12.75"/>
    <row r="750" s="894" customFormat="1" ht="12.75"/>
    <row r="751" s="894" customFormat="1" ht="12.75"/>
    <row r="752" s="894" customFormat="1" ht="12.75"/>
    <row r="753" s="894" customFormat="1" ht="12.75"/>
    <row r="754" s="894" customFormat="1" ht="12.75"/>
    <row r="755" s="894" customFormat="1" ht="12.75"/>
    <row r="756" s="894" customFormat="1" ht="12.75"/>
    <row r="757" s="894" customFormat="1" ht="12.75"/>
    <row r="758" s="894" customFormat="1" ht="12.75"/>
    <row r="759" s="894" customFormat="1" ht="12.75"/>
    <row r="760" s="894" customFormat="1" ht="12.75"/>
    <row r="761" s="894" customFormat="1" ht="12.75"/>
    <row r="762" s="894" customFormat="1" ht="12.75"/>
    <row r="763" s="894" customFormat="1" ht="12.75"/>
    <row r="764" s="894" customFormat="1" ht="12.75"/>
    <row r="765" s="894" customFormat="1" ht="12.75"/>
    <row r="766" s="894" customFormat="1" ht="12.75"/>
    <row r="767" s="894" customFormat="1" ht="12.75"/>
    <row r="768" s="894" customFormat="1" ht="12.75"/>
    <row r="769" s="894" customFormat="1" ht="12.75"/>
    <row r="770" s="894" customFormat="1" ht="12.75"/>
    <row r="771" s="894" customFormat="1" ht="12.75"/>
    <row r="772" s="894" customFormat="1" ht="12.75"/>
    <row r="773" s="894" customFormat="1" ht="12.75"/>
    <row r="774" s="894" customFormat="1" ht="12.75"/>
    <row r="775" s="894" customFormat="1" ht="12.75"/>
    <row r="776" s="894" customFormat="1" ht="12.75"/>
    <row r="777" s="894" customFormat="1" ht="12.75"/>
    <row r="778" s="894" customFormat="1" ht="12.75"/>
    <row r="779" s="894" customFormat="1" ht="12.75"/>
    <row r="780" s="894" customFormat="1" ht="12.75"/>
    <row r="781" s="894" customFormat="1" ht="12.75"/>
    <row r="782" s="894" customFormat="1" ht="12.75"/>
    <row r="783" s="894" customFormat="1" ht="12.75"/>
    <row r="784" s="894" customFormat="1" ht="12.75"/>
    <row r="785" s="894" customFormat="1" ht="12.75"/>
    <row r="786" s="894" customFormat="1" ht="12.75"/>
    <row r="787" s="894" customFormat="1" ht="12.75"/>
    <row r="788" s="894" customFormat="1" ht="12.75"/>
    <row r="789" s="894" customFormat="1" ht="12.75"/>
    <row r="790" s="894" customFormat="1" ht="12.75"/>
    <row r="791" s="894" customFormat="1" ht="12.75"/>
    <row r="792" s="894" customFormat="1" ht="12.75"/>
    <row r="793" s="894" customFormat="1" ht="12.75"/>
    <row r="794" s="894" customFormat="1" ht="12.75"/>
    <row r="795" s="894" customFormat="1" ht="12.75"/>
    <row r="796" s="894" customFormat="1" ht="12.75"/>
    <row r="797" s="894" customFormat="1" ht="12.75"/>
    <row r="798" s="894" customFormat="1" ht="12.75"/>
    <row r="799" s="894" customFormat="1" ht="12.75"/>
    <row r="800" s="894" customFormat="1" ht="12.75"/>
    <row r="801" s="894" customFormat="1" ht="12.75"/>
    <row r="802" s="894" customFormat="1" ht="12.75"/>
    <row r="803" s="894" customFormat="1" ht="12.75"/>
    <row r="804" s="894" customFormat="1" ht="12.75"/>
    <row r="805" s="894" customFormat="1" ht="12.75"/>
    <row r="806" s="894" customFormat="1" ht="12.75"/>
    <row r="807" s="894" customFormat="1" ht="12.75"/>
    <row r="808" s="894" customFormat="1" ht="12.75"/>
    <row r="809" s="894" customFormat="1" ht="12.75"/>
    <row r="810" s="894" customFormat="1" ht="12.75"/>
    <row r="811" s="894" customFormat="1" ht="12.75"/>
    <row r="812" s="894" customFormat="1" ht="12.75"/>
    <row r="813" s="894" customFormat="1" ht="12.75"/>
    <row r="814" s="894" customFormat="1" ht="12.75"/>
    <row r="815" s="894" customFormat="1" ht="12.75"/>
    <row r="816" s="894" customFormat="1" ht="12.75"/>
    <row r="817" s="894" customFormat="1" ht="12.75"/>
    <row r="818" s="894" customFormat="1" ht="12.75"/>
    <row r="819" s="894" customFormat="1" ht="12.75"/>
    <row r="820" s="894" customFormat="1" ht="12.75"/>
    <row r="821" s="894" customFormat="1" ht="12.75"/>
    <row r="822" s="894" customFormat="1" ht="12.75"/>
    <row r="823" s="894" customFormat="1" ht="12.75"/>
    <row r="824" s="894" customFormat="1" ht="12.75"/>
    <row r="825" s="894" customFormat="1" ht="12.75"/>
    <row r="826" s="894" customFormat="1" ht="12.75"/>
    <row r="827" s="894" customFormat="1" ht="12.75"/>
    <row r="828" s="894" customFormat="1" ht="12.75"/>
    <row r="829" s="894" customFormat="1" ht="12.75"/>
    <row r="830" s="894" customFormat="1" ht="12.75"/>
    <row r="831" s="894" customFormat="1" ht="12.75"/>
    <row r="832" s="894" customFormat="1" ht="12.75"/>
    <row r="833" s="894" customFormat="1" ht="12.75"/>
    <row r="834" s="894" customFormat="1" ht="12.75"/>
    <row r="835" s="894" customFormat="1" ht="12.75"/>
    <row r="836" s="894" customFormat="1" ht="12.75"/>
    <row r="837" s="894" customFormat="1" ht="12.75"/>
    <row r="838" s="894" customFormat="1" ht="12.75"/>
    <row r="839" s="894" customFormat="1" ht="12.75"/>
    <row r="840" s="894" customFormat="1" ht="12.75"/>
    <row r="841" s="894" customFormat="1" ht="12.75"/>
    <row r="842" s="894" customFormat="1" ht="12.75"/>
    <row r="843" s="894" customFormat="1" ht="12.75"/>
    <row r="844" s="894" customFormat="1" ht="12.75"/>
    <row r="845" s="894" customFormat="1" ht="12.75"/>
    <row r="846" s="894" customFormat="1" ht="12.75"/>
    <row r="847" s="894" customFormat="1" ht="12.75"/>
    <row r="848" s="894" customFormat="1" ht="12.75"/>
    <row r="849" s="894" customFormat="1" ht="12.75"/>
    <row r="850" s="894" customFormat="1" ht="12.75"/>
    <row r="851" s="894" customFormat="1" ht="12.75"/>
    <row r="852" s="894" customFormat="1" ht="12.75"/>
    <row r="853" s="894" customFormat="1" ht="12.75"/>
    <row r="854" s="894" customFormat="1" ht="12.75"/>
    <row r="855" s="894" customFormat="1" ht="12.75"/>
    <row r="856" s="894" customFormat="1" ht="12.75"/>
    <row r="857" s="894" customFormat="1" ht="12.75"/>
    <row r="858" s="894" customFormat="1" ht="12.75"/>
    <row r="859" s="894" customFormat="1" ht="12.75"/>
    <row r="860" s="894" customFormat="1" ht="12.75"/>
    <row r="861" s="894" customFormat="1" ht="12.75"/>
    <row r="862" s="894" customFormat="1" ht="12.75"/>
    <row r="863" s="894" customFormat="1" ht="12.75"/>
    <row r="864" s="894" customFormat="1" ht="12.75"/>
    <row r="865" s="894" customFormat="1" ht="12.75"/>
    <row r="866" s="894" customFormat="1" ht="12.75"/>
    <row r="867" s="894" customFormat="1" ht="12.75"/>
    <row r="868" s="894" customFormat="1" ht="12.75"/>
    <row r="869" s="894" customFormat="1" ht="12.75"/>
    <row r="870" s="894" customFormat="1" ht="12.75"/>
    <row r="871" s="894" customFormat="1" ht="12.75"/>
    <row r="872" s="894" customFormat="1" ht="12.75"/>
    <row r="873" s="894" customFormat="1" ht="12.75"/>
    <row r="874" s="894" customFormat="1" ht="12.75"/>
    <row r="875" s="894" customFormat="1" ht="12.75"/>
    <row r="876" s="894" customFormat="1" ht="12.75"/>
    <row r="877" s="894" customFormat="1" ht="12.75"/>
    <row r="878" s="894" customFormat="1" ht="12.75"/>
    <row r="879" s="894" customFormat="1" ht="12.75"/>
    <row r="880" s="894" customFormat="1" ht="12.75"/>
    <row r="881" s="894" customFormat="1" ht="12.75"/>
    <row r="882" s="894" customFormat="1" ht="12.75"/>
    <row r="883" s="894" customFormat="1" ht="12.75"/>
    <row r="884" s="894" customFormat="1" ht="12.75"/>
    <row r="885" s="894" customFormat="1" ht="12.75"/>
    <row r="886" s="894" customFormat="1" ht="12.75"/>
    <row r="887" s="894" customFormat="1" ht="12.75"/>
    <row r="888" s="894" customFormat="1" ht="12.75"/>
    <row r="889" s="894" customFormat="1" ht="12.75"/>
    <row r="890" s="894" customFormat="1" ht="12.75"/>
    <row r="891" s="894" customFormat="1" ht="12.75"/>
    <row r="892" s="894" customFormat="1" ht="12.75"/>
    <row r="893" s="894" customFormat="1" ht="12.75"/>
    <row r="894" s="894" customFormat="1" ht="12.75"/>
    <row r="895" s="894" customFormat="1" ht="12.75"/>
    <row r="896" s="894" customFormat="1" ht="12.75"/>
    <row r="897" s="894" customFormat="1" ht="12.75"/>
    <row r="898" s="894" customFormat="1" ht="12.75"/>
    <row r="899" s="894" customFormat="1" ht="12.75"/>
    <row r="900" s="894" customFormat="1" ht="12.75"/>
    <row r="901" s="894" customFormat="1" ht="12.75"/>
    <row r="902" s="894" customFormat="1" ht="12.75"/>
    <row r="903" s="894" customFormat="1" ht="12.75"/>
    <row r="904" s="894" customFormat="1" ht="12.75"/>
    <row r="905" s="894" customFormat="1" ht="12.75"/>
    <row r="906" s="894" customFormat="1" ht="12.75"/>
    <row r="907" s="894" customFormat="1" ht="12.75"/>
    <row r="908" s="894" customFormat="1" ht="12.75"/>
    <row r="909" s="894" customFormat="1" ht="12.75"/>
    <row r="910" s="894" customFormat="1" ht="12.75"/>
    <row r="911" s="894" customFormat="1" ht="12.75"/>
    <row r="912" s="894" customFormat="1" ht="12.75"/>
    <row r="913" s="894" customFormat="1" ht="12.75"/>
    <row r="914" s="894" customFormat="1" ht="12.75"/>
    <row r="915" s="894" customFormat="1" ht="12.75"/>
    <row r="916" s="894" customFormat="1" ht="12.75"/>
    <row r="917" s="894" customFormat="1" ht="12.75"/>
    <row r="918" s="894" customFormat="1" ht="12.75"/>
    <row r="919" s="894" customFormat="1" ht="12.75"/>
    <row r="920" s="894" customFormat="1" ht="12.75"/>
    <row r="921" s="894" customFormat="1" ht="12.75"/>
    <row r="922" s="894" customFormat="1" ht="12.75"/>
    <row r="923" s="894" customFormat="1" ht="12.75"/>
    <row r="924" s="894" customFormat="1" ht="12.75"/>
    <row r="925" s="894" customFormat="1" ht="12.75"/>
    <row r="926" s="894" customFormat="1" ht="12.75"/>
    <row r="927" s="894" customFormat="1" ht="12.75"/>
    <row r="928" s="894" customFormat="1" ht="12.75"/>
    <row r="929" s="894" customFormat="1" ht="12.75"/>
    <row r="930" s="894" customFormat="1" ht="12.75"/>
    <row r="931" s="894" customFormat="1" ht="12.75"/>
    <row r="932" s="894" customFormat="1" ht="12.75"/>
    <row r="933" s="894" customFormat="1" ht="12.75"/>
    <row r="934" s="894" customFormat="1" ht="12.75"/>
    <row r="935" s="894" customFormat="1" ht="12.75"/>
    <row r="936" s="894" customFormat="1" ht="12.75"/>
    <row r="937" s="894" customFormat="1" ht="12.75"/>
    <row r="938" s="894" customFormat="1" ht="12.75"/>
    <row r="939" s="894" customFormat="1" ht="12.75"/>
    <row r="940" s="894" customFormat="1" ht="12.75"/>
    <row r="941" s="894" customFormat="1" ht="12.75"/>
    <row r="942" s="894" customFormat="1" ht="12.75"/>
    <row r="943" s="894" customFormat="1" ht="12.75"/>
    <row r="944" s="894" customFormat="1" ht="12.75"/>
    <row r="945" s="894" customFormat="1" ht="12.75"/>
    <row r="946" s="894" customFormat="1" ht="12.75"/>
    <row r="947" s="894" customFormat="1" ht="12.75"/>
    <row r="948" s="894" customFormat="1" ht="12.75"/>
    <row r="949" s="894" customFormat="1" ht="12.75"/>
    <row r="950" s="894" customFormat="1" ht="12.75"/>
    <row r="951" s="894" customFormat="1" ht="12.75"/>
    <row r="952" s="894" customFormat="1" ht="12.75"/>
    <row r="953" s="894" customFormat="1" ht="12.75"/>
    <row r="954" s="894" customFormat="1" ht="12.75"/>
    <row r="955" s="894" customFormat="1" ht="12.75"/>
    <row r="956" s="894" customFormat="1" ht="12.75"/>
    <row r="957" s="894" customFormat="1" ht="12.75"/>
    <row r="958" s="894" customFormat="1" ht="12.75"/>
    <row r="959" s="894" customFormat="1" ht="12.75"/>
    <row r="960" s="894" customFormat="1" ht="12.75"/>
    <row r="961" s="894" customFormat="1" ht="12.75"/>
    <row r="962" s="894" customFormat="1" ht="12.75"/>
    <row r="963" s="894" customFormat="1" ht="12.75"/>
    <row r="964" s="894" customFormat="1" ht="12.75"/>
    <row r="965" s="894" customFormat="1" ht="12.75"/>
    <row r="966" s="894" customFormat="1" ht="12.75"/>
    <row r="967" s="894" customFormat="1" ht="12.75"/>
    <row r="968" s="894" customFormat="1" ht="12.75"/>
    <row r="969" s="894" customFormat="1" ht="12.75"/>
    <row r="970" s="894" customFormat="1" ht="12.75"/>
    <row r="971" s="894" customFormat="1" ht="12.75"/>
    <row r="972" s="894" customFormat="1" ht="12.75"/>
    <row r="973" s="894" customFormat="1" ht="12.75"/>
    <row r="974" s="894" customFormat="1" ht="12.75"/>
    <row r="975" s="894" customFormat="1" ht="12.75"/>
    <row r="976" s="894" customFormat="1" ht="12.75"/>
    <row r="977" s="894" customFormat="1" ht="12.75"/>
    <row r="978" s="894" customFormat="1" ht="12.75"/>
    <row r="979" s="894" customFormat="1" ht="12.75"/>
    <row r="980" s="894" customFormat="1" ht="12.75"/>
    <row r="981" s="894" customFormat="1" ht="12.75"/>
    <row r="982" s="894" customFormat="1" ht="12.75"/>
    <row r="983" s="894" customFormat="1" ht="12.75"/>
    <row r="984" s="894" customFormat="1" ht="12.75"/>
    <row r="985" s="894" customFormat="1" ht="12.75"/>
    <row r="986" s="894" customFormat="1" ht="12.75"/>
    <row r="987" s="894" customFormat="1" ht="12.75"/>
    <row r="988" s="894" customFormat="1" ht="12.75"/>
    <row r="989" s="894" customFormat="1" ht="12.75"/>
    <row r="990" s="894" customFormat="1" ht="12.75"/>
    <row r="991" s="894" customFormat="1" ht="12.75"/>
    <row r="992" s="894" customFormat="1" ht="12.75"/>
    <row r="993" s="894" customFormat="1" ht="12.75"/>
    <row r="994" s="894" customFormat="1" ht="12.75"/>
    <row r="995" s="894" customFormat="1" ht="12.75"/>
    <row r="996" s="894" customFormat="1" ht="12.75"/>
    <row r="997" s="894" customFormat="1" ht="12.75"/>
    <row r="998" s="894" customFormat="1" ht="12.75"/>
    <row r="999" s="894" customFormat="1" ht="12.75"/>
    <row r="1000" s="894" customFormat="1" ht="12.75"/>
    <row r="1001" s="894" customFormat="1" ht="12.75"/>
    <row r="1002" s="894" customFormat="1" ht="12.75"/>
    <row r="1003" s="894" customFormat="1" ht="12.75"/>
    <row r="1004" s="894" customFormat="1" ht="12.75"/>
    <row r="1005" s="894" customFormat="1" ht="12.75"/>
    <row r="1006" s="894" customFormat="1" ht="12.75"/>
    <row r="1007" s="894" customFormat="1" ht="12.75"/>
    <row r="1008" s="894" customFormat="1" ht="12.75"/>
    <row r="1009" s="894" customFormat="1" ht="12.75"/>
    <row r="1010" s="894" customFormat="1" ht="12.75"/>
    <row r="1011" s="894" customFormat="1" ht="12.75"/>
    <row r="1012" s="894" customFormat="1" ht="12.75"/>
    <row r="1013" s="894" customFormat="1" ht="12.75"/>
    <row r="1014" s="894" customFormat="1" ht="12.75"/>
    <row r="1015" s="894" customFormat="1" ht="12.75"/>
    <row r="1016" s="894" customFormat="1" ht="12.75"/>
    <row r="1017" s="894" customFormat="1" ht="12.75"/>
    <row r="1018" s="894" customFormat="1" ht="12.75"/>
    <row r="1019" s="894" customFormat="1" ht="12.75"/>
    <row r="1020" s="894" customFormat="1" ht="12.75"/>
    <row r="1021" s="894" customFormat="1" ht="12.75"/>
    <row r="1022" s="894" customFormat="1" ht="12.75"/>
    <row r="1023" s="894" customFormat="1" ht="12.75"/>
    <row r="1024" s="894" customFormat="1" ht="12.75"/>
    <row r="1025" s="894" customFormat="1" ht="12.75"/>
    <row r="1026" s="894" customFormat="1" ht="12.75"/>
    <row r="1027" s="894" customFormat="1" ht="12.75"/>
    <row r="1028" s="894" customFormat="1" ht="12.75"/>
    <row r="1029" s="894" customFormat="1" ht="12.75"/>
    <row r="1030" s="894" customFormat="1" ht="12.75"/>
    <row r="1031" s="894" customFormat="1" ht="12.75"/>
    <row r="1032" s="894" customFormat="1" ht="12.75"/>
    <row r="1033" s="894" customFormat="1" ht="12.75"/>
    <row r="1034" s="894" customFormat="1" ht="12.75"/>
    <row r="1035" s="894" customFormat="1" ht="12.75"/>
    <row r="1036" s="894" customFormat="1" ht="12.75"/>
    <row r="1037" s="894" customFormat="1" ht="12.75"/>
    <row r="1038" s="894" customFormat="1" ht="12.75"/>
    <row r="1039" s="894" customFormat="1" ht="12.75"/>
    <row r="1040" s="894" customFormat="1" ht="12.75"/>
    <row r="1041" s="894" customFormat="1" ht="12.75"/>
    <row r="1042" s="894" customFormat="1" ht="12.75"/>
    <row r="1043" s="894" customFormat="1" ht="12.75"/>
    <row r="1044" s="894" customFormat="1" ht="12.75"/>
    <row r="1045" s="894" customFormat="1" ht="12.75"/>
    <row r="1046" s="894" customFormat="1" ht="12.75"/>
    <row r="1047" s="894" customFormat="1" ht="12.75"/>
    <row r="1048" s="894" customFormat="1" ht="12.75"/>
    <row r="1049" s="894" customFormat="1" ht="12.75"/>
    <row r="1050" s="894" customFormat="1" ht="12.75"/>
    <row r="1051" s="894" customFormat="1" ht="12.75"/>
    <row r="1052" s="894" customFormat="1" ht="12.75"/>
    <row r="1053" s="894" customFormat="1" ht="12.75"/>
    <row r="1054" s="894" customFormat="1" ht="12.75"/>
    <row r="1055" s="894" customFormat="1" ht="12.75"/>
    <row r="1056" s="894" customFormat="1" ht="12.75"/>
    <row r="1057" s="894" customFormat="1" ht="12.75"/>
    <row r="1058" s="894" customFormat="1" ht="12.75"/>
    <row r="1059" s="894" customFormat="1" ht="12.75"/>
    <row r="1060" s="894" customFormat="1" ht="12.75"/>
    <row r="1061" s="894" customFormat="1" ht="12.75"/>
    <row r="1062" s="894" customFormat="1" ht="12.75"/>
    <row r="1063" s="894" customFormat="1" ht="12.75"/>
    <row r="1064" s="894" customFormat="1" ht="12.75"/>
    <row r="1065" s="894" customFormat="1" ht="12.75"/>
    <row r="1066" s="894" customFormat="1" ht="12.75"/>
    <row r="1067" s="894" customFormat="1" ht="12.75"/>
    <row r="1068" s="894" customFormat="1" ht="12.75"/>
    <row r="1069" s="894" customFormat="1" ht="12.75"/>
    <row r="1070" s="894" customFormat="1" ht="12.75"/>
    <row r="1071" s="894" customFormat="1" ht="12.75"/>
    <row r="1072" s="894" customFormat="1" ht="12.75"/>
    <row r="1073" s="894" customFormat="1" ht="12.75"/>
    <row r="1074" s="894" customFormat="1" ht="12.75"/>
    <row r="1075" s="894" customFormat="1" ht="12.75"/>
    <row r="1076" s="894" customFormat="1" ht="12.75"/>
    <row r="1077" s="894" customFormat="1" ht="12.75"/>
    <row r="1078" s="894" customFormat="1" ht="12.75"/>
    <row r="1079" s="894" customFormat="1" ht="12.75"/>
    <row r="1080" s="894" customFormat="1" ht="12.75"/>
    <row r="1081" s="894" customFormat="1" ht="12.75"/>
    <row r="1082" s="894" customFormat="1" ht="12.75"/>
    <row r="1083" s="894" customFormat="1" ht="12.75"/>
    <row r="1084" s="894" customFormat="1" ht="12.75"/>
    <row r="1085" s="894" customFormat="1" ht="12.75"/>
    <row r="1086" s="894" customFormat="1" ht="12.75"/>
    <row r="1087" s="894" customFormat="1" ht="12.75"/>
    <row r="1088" s="894" customFormat="1" ht="12.75"/>
    <row r="1089" s="894" customFormat="1" ht="12.75"/>
    <row r="1090" s="894" customFormat="1" ht="12.75"/>
    <row r="1091" s="894" customFormat="1" ht="12.75"/>
    <row r="1092" s="894" customFormat="1" ht="12.75"/>
    <row r="1093" s="894" customFormat="1" ht="12.75"/>
    <row r="1094" s="894" customFormat="1" ht="12.75"/>
    <row r="1095" s="894" customFormat="1" ht="12.75"/>
    <row r="1096" s="894" customFormat="1" ht="12.75"/>
    <row r="1097" s="894" customFormat="1" ht="12.75"/>
    <row r="1098" s="894" customFormat="1" ht="12.75"/>
    <row r="1099" s="894" customFormat="1" ht="12.75"/>
    <row r="1100" s="894" customFormat="1" ht="12.75"/>
    <row r="1101" s="894" customFormat="1" ht="12.75"/>
    <row r="1102" s="894" customFormat="1" ht="12.75"/>
    <row r="1103" s="894" customFormat="1" ht="12.75"/>
    <row r="1104" s="894" customFormat="1" ht="12.75"/>
    <row r="1105" s="894" customFormat="1" ht="12.75"/>
    <row r="1106" s="894" customFormat="1" ht="12.75"/>
    <row r="1107" s="894" customFormat="1" ht="12.75"/>
    <row r="1108" s="894" customFormat="1" ht="12.75"/>
    <row r="1109" s="894" customFormat="1" ht="12.75"/>
    <row r="1110" s="894" customFormat="1" ht="12.75"/>
    <row r="1111" s="894" customFormat="1" ht="12.75"/>
    <row r="1112" s="894" customFormat="1" ht="12.75"/>
    <row r="1113" s="894" customFormat="1" ht="12.75"/>
    <row r="1114" s="894" customFormat="1" ht="12.75"/>
    <row r="1115" s="894" customFormat="1" ht="12.75"/>
    <row r="1116" s="894" customFormat="1" ht="12.75"/>
    <row r="1117" s="894" customFormat="1" ht="12.75"/>
    <row r="1118" s="894" customFormat="1" ht="12.75"/>
    <row r="1119" s="894" customFormat="1" ht="12.75"/>
    <row r="1120" s="894" customFormat="1" ht="12.75"/>
    <row r="1121" s="894" customFormat="1" ht="12.75"/>
    <row r="1122" s="894" customFormat="1" ht="12.75"/>
    <row r="1123" s="894" customFormat="1" ht="12.75"/>
    <row r="1124" s="894" customFormat="1" ht="12.75"/>
    <row r="1125" s="894" customFormat="1" ht="12.75"/>
    <row r="1126" s="894" customFormat="1" ht="12.75"/>
    <row r="1127" s="894" customFormat="1" ht="12.75"/>
    <row r="1128" s="894" customFormat="1" ht="12.75"/>
    <row r="1129" s="894" customFormat="1" ht="12.75"/>
    <row r="1130" s="894" customFormat="1" ht="12.75"/>
    <row r="1131" s="894" customFormat="1" ht="12.75"/>
    <row r="1132" s="894" customFormat="1" ht="12.75"/>
    <row r="1133" s="894" customFormat="1" ht="12.75"/>
    <row r="1134" s="894" customFormat="1" ht="12.75"/>
    <row r="1135" s="894" customFormat="1" ht="12.75"/>
    <row r="1136" s="894" customFormat="1" ht="12.75"/>
    <row r="1137" s="894" customFormat="1" ht="12.75"/>
    <row r="1138" s="894" customFormat="1" ht="12.75"/>
    <row r="1139" s="894" customFormat="1" ht="12.75"/>
    <row r="1140" s="894" customFormat="1" ht="12.75"/>
    <row r="1141" s="894" customFormat="1" ht="12.75"/>
    <row r="1142" s="894" customFormat="1" ht="12.75"/>
    <row r="1143" s="894" customFormat="1" ht="12.75"/>
    <row r="1144" s="894" customFormat="1" ht="12.75"/>
    <row r="1145" s="894" customFormat="1" ht="12.75"/>
    <row r="1146" s="894" customFormat="1" ht="12.75"/>
    <row r="1147" s="894" customFormat="1" ht="12.75"/>
    <row r="1148" s="894" customFormat="1" ht="12.75"/>
    <row r="1149" s="894" customFormat="1" ht="12.75"/>
    <row r="1150" s="894" customFormat="1" ht="12.75"/>
    <row r="1151" s="894" customFormat="1" ht="12.75"/>
    <row r="1152" s="894" customFormat="1" ht="12.75"/>
    <row r="1153" s="894" customFormat="1" ht="12.75"/>
    <row r="1154" s="894" customFormat="1" ht="12.75"/>
    <row r="1155" s="894" customFormat="1" ht="12.75"/>
    <row r="1156" s="894" customFormat="1" ht="12.75"/>
    <row r="1157" s="894" customFormat="1" ht="12.75"/>
    <row r="1158" s="894" customFormat="1" ht="12.75"/>
    <row r="1159" s="894" customFormat="1" ht="12.75"/>
    <row r="1160" s="894" customFormat="1" ht="12.75"/>
    <row r="1161" s="894" customFormat="1" ht="12.75"/>
    <row r="1162" s="894" customFormat="1" ht="12.75"/>
    <row r="1163" s="894" customFormat="1" ht="12.75"/>
    <row r="1164" s="894" customFormat="1" ht="12.75"/>
    <row r="1165" s="894" customFormat="1" ht="12.75"/>
    <row r="1166" s="894" customFormat="1" ht="12.75"/>
    <row r="1167" s="894" customFormat="1" ht="12.75"/>
    <row r="1168" s="894" customFormat="1" ht="12.75"/>
    <row r="1169" s="894" customFormat="1" ht="12.75"/>
    <row r="1170" s="894" customFormat="1" ht="12.75"/>
    <row r="1171" s="894" customFormat="1" ht="12.75"/>
    <row r="1172" s="894" customFormat="1" ht="12.75"/>
    <row r="1173" s="894" customFormat="1" ht="12.75"/>
    <row r="1174" s="894" customFormat="1" ht="12.75"/>
    <row r="1175" s="894" customFormat="1" ht="12.75"/>
    <row r="1176" s="894" customFormat="1" ht="12.75"/>
    <row r="1177" s="894" customFormat="1" ht="12.75"/>
    <row r="1178" s="894" customFormat="1" ht="12.75"/>
    <row r="1179" s="894" customFormat="1" ht="12.75"/>
    <row r="1180" s="894" customFormat="1" ht="12.75"/>
    <row r="1181" s="894" customFormat="1" ht="12.75"/>
    <row r="1182" s="894" customFormat="1" ht="12.75"/>
    <row r="1183" s="894" customFormat="1" ht="12.75"/>
    <row r="1184" s="894" customFormat="1" ht="12.75"/>
    <row r="1185" s="894" customFormat="1" ht="12.75"/>
    <row r="1186" s="894" customFormat="1" ht="12.75"/>
    <row r="1187" s="894" customFormat="1" ht="12.75"/>
    <row r="1188" s="894" customFormat="1" ht="12.75"/>
    <row r="1189" s="894" customFormat="1" ht="12.75"/>
    <row r="1190" s="894" customFormat="1" ht="12.75"/>
    <row r="1191" s="894" customFormat="1" ht="12.75"/>
    <row r="1192" s="894" customFormat="1" ht="12.75"/>
    <row r="1193" s="894" customFormat="1" ht="12.75"/>
    <row r="1194" s="894" customFormat="1" ht="12.75"/>
    <row r="1195" s="894" customFormat="1" ht="12.75"/>
    <row r="1196" s="894" customFormat="1" ht="12.75"/>
    <row r="1197" s="894" customFormat="1" ht="12.75"/>
    <row r="1198" s="894" customFormat="1" ht="12.75"/>
    <row r="1199" s="894" customFormat="1" ht="12.75"/>
    <row r="1200" s="894" customFormat="1" ht="12.75"/>
    <row r="1201" s="894" customFormat="1" ht="12.75"/>
    <row r="1202" s="894" customFormat="1" ht="12.75"/>
    <row r="1203" s="894" customFormat="1" ht="12.75"/>
    <row r="1204" s="894" customFormat="1" ht="12.75"/>
    <row r="1205" s="894" customFormat="1" ht="12.75"/>
    <row r="1206" s="894" customFormat="1" ht="12.75"/>
    <row r="1207" s="894" customFormat="1" ht="12.75"/>
    <row r="1208" s="894" customFormat="1" ht="12.75"/>
    <row r="1209" s="894" customFormat="1" ht="12.75"/>
    <row r="1210" s="894" customFormat="1" ht="12.75"/>
    <row r="1211" s="894" customFormat="1" ht="12.75"/>
    <row r="1212" s="894" customFormat="1" ht="12.75"/>
    <row r="1213" s="894" customFormat="1" ht="12.75"/>
    <row r="1214" s="894" customFormat="1" ht="12.75"/>
    <row r="1215" s="894" customFormat="1" ht="12.75"/>
    <row r="1216" s="894" customFormat="1" ht="12.75"/>
    <row r="1217" s="894" customFormat="1" ht="12.75"/>
    <row r="1218" s="894" customFormat="1" ht="12.75"/>
    <row r="1219" s="894" customFormat="1" ht="12.75"/>
    <row r="1220" s="894" customFormat="1" ht="12.75"/>
    <row r="1221" s="894" customFormat="1" ht="12.75"/>
    <row r="1222" s="894" customFormat="1" ht="12.75"/>
    <row r="1223" s="894" customFormat="1" ht="12.75"/>
    <row r="1224" s="894" customFormat="1" ht="12.75"/>
    <row r="1225" s="894" customFormat="1" ht="12.75"/>
    <row r="1226" s="894" customFormat="1" ht="12.75"/>
    <row r="1227" s="894" customFormat="1" ht="12.75"/>
    <row r="1228" s="894" customFormat="1" ht="12.75"/>
    <row r="1229" s="894" customFormat="1" ht="12.75"/>
    <row r="1230" s="894" customFormat="1" ht="12.75"/>
    <row r="1231" s="894" customFormat="1" ht="12.75"/>
    <row r="1232" s="894" customFormat="1" ht="12.75"/>
    <row r="1233" s="894" customFormat="1" ht="12.75"/>
    <row r="1234" s="894" customFormat="1" ht="12.75"/>
    <row r="1235" s="894" customFormat="1" ht="12.75"/>
    <row r="1236" s="894" customFormat="1" ht="12.75"/>
    <row r="1237" s="894" customFormat="1" ht="12.75"/>
    <row r="1238" s="894" customFormat="1" ht="12.75"/>
    <row r="1239" s="894" customFormat="1" ht="12.75"/>
    <row r="1240" s="894" customFormat="1" ht="12.75"/>
    <row r="1241" s="894" customFormat="1" ht="12.75"/>
    <row r="1242" s="894" customFormat="1" ht="12.75"/>
  </sheetData>
  <mergeCells count="13">
    <mergeCell ref="P4:R4"/>
    <mergeCell ref="S4:U4"/>
    <mergeCell ref="V4:X4"/>
    <mergeCell ref="A6:X6"/>
    <mergeCell ref="A4:C5"/>
    <mergeCell ref="D4:F4"/>
    <mergeCell ref="G4:I4"/>
    <mergeCell ref="J4:L4"/>
    <mergeCell ref="M4:O4"/>
    <mergeCell ref="A11:B11"/>
    <mergeCell ref="A16:X16"/>
    <mergeCell ref="A21:B21"/>
    <mergeCell ref="A26:X26"/>
  </mergeCells>
  <printOptions/>
  <pageMargins left="0.5" right="0.25" top="0.82" bottom="0.33" header="0.51" footer="0.17"/>
  <pageSetup horizontalDpi="300" verticalDpi="3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X1">
      <pane ySplit="5" topLeftCell="BM9" activePane="bottomLeft" state="frozen"/>
      <selection pane="topLeft" activeCell="A1" sqref="A1"/>
      <selection pane="bottomLeft" activeCell="Y12" sqref="Y12"/>
    </sheetView>
  </sheetViews>
  <sheetFormatPr defaultColWidth="9.140625" defaultRowHeight="12.75"/>
  <cols>
    <col min="1" max="1" width="9.140625" style="814" customWidth="1"/>
    <col min="2" max="2" width="9.8515625" style="814" customWidth="1"/>
    <col min="3" max="3" width="9.7109375" style="814" customWidth="1"/>
    <col min="4" max="9" width="9.140625" style="814" hidden="1" customWidth="1"/>
    <col min="10" max="15" width="11.7109375" style="814" hidden="1" customWidth="1"/>
    <col min="16" max="17" width="11.7109375" style="814" customWidth="1"/>
    <col min="18" max="18" width="9.8515625" style="814" customWidth="1"/>
    <col min="19" max="20" width="11.57421875" style="814" customWidth="1"/>
    <col min="21" max="21" width="9.8515625" style="814" customWidth="1"/>
    <col min="22" max="23" width="11.7109375" style="814" customWidth="1"/>
    <col min="24" max="25" width="9.8515625" style="814" customWidth="1"/>
    <col min="26" max="16384" width="9.140625" style="814" customWidth="1"/>
  </cols>
  <sheetData>
    <row r="1" spans="1:28" ht="15.75">
      <c r="A1" s="895" t="s">
        <v>385</v>
      </c>
      <c r="B1" s="895"/>
      <c r="C1" s="895"/>
      <c r="D1" s="895"/>
      <c r="E1" s="895"/>
      <c r="F1" s="895"/>
      <c r="G1" s="895"/>
      <c r="H1" s="895"/>
      <c r="I1" s="895"/>
      <c r="J1" s="895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95"/>
      <c r="AB1" s="895"/>
    </row>
    <row r="2" spans="1:28" ht="15.75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95"/>
      <c r="AB2" s="895"/>
    </row>
    <row r="3" spans="1:28" ht="16.5" thickBot="1">
      <c r="A3" s="815" t="s">
        <v>205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468"/>
      <c r="Z3" s="811"/>
      <c r="AA3" s="811"/>
      <c r="AB3" s="811"/>
    </row>
    <row r="4" spans="1:28" ht="18.75" customHeight="1">
      <c r="A4" s="1487" t="s">
        <v>217</v>
      </c>
      <c r="B4" s="1488"/>
      <c r="C4" s="1489"/>
      <c r="D4" s="896">
        <v>2001</v>
      </c>
      <c r="E4" s="897"/>
      <c r="F4" s="898"/>
      <c r="G4" s="896">
        <v>2002</v>
      </c>
      <c r="H4" s="897"/>
      <c r="I4" s="898"/>
      <c r="J4" s="896">
        <v>2003</v>
      </c>
      <c r="K4" s="897"/>
      <c r="L4" s="897"/>
      <c r="M4" s="1483">
        <v>2004</v>
      </c>
      <c r="N4" s="1469"/>
      <c r="O4" s="1493"/>
      <c r="P4" s="1483">
        <v>2005</v>
      </c>
      <c r="Q4" s="1469"/>
      <c r="R4" s="1493"/>
      <c r="S4" s="1483">
        <v>2006</v>
      </c>
      <c r="T4" s="1469"/>
      <c r="U4" s="1470"/>
      <c r="V4" s="1483">
        <v>2007</v>
      </c>
      <c r="W4" s="1469"/>
      <c r="X4" s="1470"/>
      <c r="Y4" s="899"/>
      <c r="Z4" s="884"/>
      <c r="AA4" s="884"/>
      <c r="AB4" s="884"/>
    </row>
    <row r="5" spans="1:28" ht="30">
      <c r="A5" s="1490"/>
      <c r="B5" s="1491"/>
      <c r="C5" s="1492"/>
      <c r="D5" s="900" t="s">
        <v>134</v>
      </c>
      <c r="E5" s="822" t="s">
        <v>218</v>
      </c>
      <c r="F5" s="901" t="s">
        <v>219</v>
      </c>
      <c r="G5" s="900" t="s">
        <v>134</v>
      </c>
      <c r="H5" s="822" t="s">
        <v>135</v>
      </c>
      <c r="I5" s="901" t="s">
        <v>220</v>
      </c>
      <c r="J5" s="900" t="s">
        <v>134</v>
      </c>
      <c r="K5" s="822" t="s">
        <v>135</v>
      </c>
      <c r="L5" s="902" t="s">
        <v>220</v>
      </c>
      <c r="M5" s="900" t="s">
        <v>134</v>
      </c>
      <c r="N5" s="822" t="s">
        <v>135</v>
      </c>
      <c r="O5" s="902" t="s">
        <v>220</v>
      </c>
      <c r="P5" s="900" t="s">
        <v>134</v>
      </c>
      <c r="Q5" s="822" t="s">
        <v>135</v>
      </c>
      <c r="R5" s="902" t="s">
        <v>220</v>
      </c>
      <c r="S5" s="900" t="s">
        <v>134</v>
      </c>
      <c r="T5" s="822" t="s">
        <v>135</v>
      </c>
      <c r="U5" s="901" t="s">
        <v>220</v>
      </c>
      <c r="V5" s="900" t="s">
        <v>134</v>
      </c>
      <c r="W5" s="822" t="s">
        <v>135</v>
      </c>
      <c r="X5" s="901" t="s">
        <v>220</v>
      </c>
      <c r="Y5" s="899"/>
      <c r="Z5" s="884"/>
      <c r="AA5" s="884"/>
      <c r="AB5" s="884"/>
    </row>
    <row r="6" spans="1:28" ht="22.5" customHeight="1">
      <c r="A6" s="1471" t="s">
        <v>109</v>
      </c>
      <c r="B6" s="1472"/>
      <c r="C6" s="1472"/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P6" s="1472"/>
      <c r="Q6" s="1472"/>
      <c r="R6" s="1472"/>
      <c r="S6" s="1472"/>
      <c r="T6" s="1472"/>
      <c r="U6" s="1472"/>
      <c r="V6" s="1472"/>
      <c r="W6" s="1472"/>
      <c r="X6" s="1473"/>
      <c r="Y6" s="899"/>
      <c r="Z6" s="884"/>
      <c r="AA6" s="884"/>
      <c r="AB6" s="884"/>
    </row>
    <row r="7" spans="1:28" ht="16.5" customHeight="1">
      <c r="A7" s="824"/>
      <c r="B7" s="825"/>
      <c r="C7" s="903" t="s">
        <v>5</v>
      </c>
      <c r="D7" s="904">
        <v>6796</v>
      </c>
      <c r="E7" s="905">
        <v>4974</v>
      </c>
      <c r="F7" s="906">
        <f>E7/D7*100</f>
        <v>73.19011183048852</v>
      </c>
      <c r="G7" s="904">
        <v>6845</v>
      </c>
      <c r="H7" s="905">
        <v>5189</v>
      </c>
      <c r="I7" s="906">
        <f>H7/G7*100</f>
        <v>75.80715850986121</v>
      </c>
      <c r="J7" s="907">
        <f>J8+J9</f>
        <v>7205</v>
      </c>
      <c r="K7" s="908">
        <f>K8+K9</f>
        <v>5411</v>
      </c>
      <c r="L7" s="909">
        <f>K7/J7*100</f>
        <v>75.10062456627342</v>
      </c>
      <c r="M7" s="904">
        <f>M8+M9</f>
        <v>6883</v>
      </c>
      <c r="N7" s="908">
        <f>N8+N9</f>
        <v>5245</v>
      </c>
      <c r="O7" s="909">
        <f>N7/M7*100</f>
        <v>76.2022373964841</v>
      </c>
      <c r="P7" s="910">
        <f>P8+P9</f>
        <v>7274</v>
      </c>
      <c r="Q7" s="911">
        <f>Q8+Q9</f>
        <v>5686</v>
      </c>
      <c r="R7" s="909">
        <f>Q7/P7*100</f>
        <v>78.16882045642014</v>
      </c>
      <c r="S7" s="910">
        <f>S8+S9</f>
        <v>8040</v>
      </c>
      <c r="T7" s="911">
        <f>T8+T9</f>
        <v>6376</v>
      </c>
      <c r="U7" s="912">
        <f>T7/S7*100</f>
        <v>79.30348258706468</v>
      </c>
      <c r="V7" s="910">
        <f>V8+V9</f>
        <v>8517</v>
      </c>
      <c r="W7" s="911">
        <f>W8+W9</f>
        <v>6622</v>
      </c>
      <c r="X7" s="912">
        <f>W7/V7*100</f>
        <v>77.75038158976166</v>
      </c>
      <c r="Y7" s="899"/>
      <c r="Z7" s="884"/>
      <c r="AA7" s="884"/>
      <c r="AB7" s="884"/>
    </row>
    <row r="8" spans="1:28" ht="16.5" customHeight="1">
      <c r="A8" s="831" t="s">
        <v>211</v>
      </c>
      <c r="B8" s="832"/>
      <c r="C8" s="903" t="s">
        <v>47</v>
      </c>
      <c r="D8" s="904">
        <v>3181</v>
      </c>
      <c r="E8" s="905">
        <v>2228</v>
      </c>
      <c r="F8" s="906">
        <f>E8/D8*100</f>
        <v>70.04086765168186</v>
      </c>
      <c r="G8" s="904">
        <v>3163</v>
      </c>
      <c r="H8" s="905">
        <v>2338</v>
      </c>
      <c r="I8" s="906">
        <f>H8/G8*100</f>
        <v>73.91716724628517</v>
      </c>
      <c r="J8" s="907">
        <f>J18+J28</f>
        <v>3307</v>
      </c>
      <c r="K8" s="908">
        <f>K18+K28</f>
        <v>2346</v>
      </c>
      <c r="L8" s="909">
        <f>K8/J8*100</f>
        <v>70.94042939219837</v>
      </c>
      <c r="M8" s="904">
        <f>M18+M28</f>
        <v>3209</v>
      </c>
      <c r="N8" s="908">
        <f>N18+N28</f>
        <v>2328</v>
      </c>
      <c r="O8" s="909">
        <f>N8/M8*100</f>
        <v>72.5459644749143</v>
      </c>
      <c r="P8" s="913">
        <f>P18+P28</f>
        <v>3301</v>
      </c>
      <c r="Q8" s="914">
        <f>Q18+Q28</f>
        <v>2430</v>
      </c>
      <c r="R8" s="909">
        <f>Q8/P8*100</f>
        <v>73.61405634656165</v>
      </c>
      <c r="S8" s="913">
        <f>S18+S28</f>
        <v>3698</v>
      </c>
      <c r="T8" s="914">
        <f>T18+T28</f>
        <v>2769</v>
      </c>
      <c r="U8" s="906">
        <f>T8/S8*100</f>
        <v>74.87831260140617</v>
      </c>
      <c r="V8" s="913">
        <f>V18+V28</f>
        <v>3896</v>
      </c>
      <c r="W8" s="914">
        <f>W18+W28</f>
        <v>2842</v>
      </c>
      <c r="X8" s="906">
        <f>W8/V8*100</f>
        <v>72.94661190965093</v>
      </c>
      <c r="Y8" s="899"/>
      <c r="Z8" s="884"/>
      <c r="AA8" s="884"/>
      <c r="AB8" s="884"/>
    </row>
    <row r="9" spans="1:28" ht="16.5" customHeight="1">
      <c r="A9" s="834" t="s">
        <v>106</v>
      </c>
      <c r="B9" s="835"/>
      <c r="C9" s="915" t="s">
        <v>48</v>
      </c>
      <c r="D9" s="916">
        <v>3615</v>
      </c>
      <c r="E9" s="917">
        <v>2746</v>
      </c>
      <c r="F9" s="918">
        <f>E9/D9*100</f>
        <v>75.9612724757953</v>
      </c>
      <c r="G9" s="916">
        <v>3682</v>
      </c>
      <c r="H9" s="917">
        <v>2851</v>
      </c>
      <c r="I9" s="918">
        <f>H9/G9*100</f>
        <v>77.43074416078218</v>
      </c>
      <c r="J9" s="919">
        <f>J19+J29</f>
        <v>3898</v>
      </c>
      <c r="K9" s="920">
        <f>K19+K29</f>
        <v>3065</v>
      </c>
      <c r="L9" s="921">
        <f>K9/J9*100</f>
        <v>78.63006670087225</v>
      </c>
      <c r="M9" s="916">
        <f>M19+M29</f>
        <v>3674</v>
      </c>
      <c r="N9" s="920">
        <f>N19+N29</f>
        <v>2917</v>
      </c>
      <c r="O9" s="921">
        <f>N9/M9*100</f>
        <v>79.39575394665215</v>
      </c>
      <c r="P9" s="922">
        <f>P19+P29</f>
        <v>3973</v>
      </c>
      <c r="Q9" s="923">
        <f>Q19+Q29</f>
        <v>3256</v>
      </c>
      <c r="R9" s="924">
        <f>Q9/P9*100</f>
        <v>81.95318399194564</v>
      </c>
      <c r="S9" s="922">
        <f>S19+S29</f>
        <v>4342</v>
      </c>
      <c r="T9" s="923">
        <f>T19+T29</f>
        <v>3607</v>
      </c>
      <c r="U9" s="925">
        <f>T9/S9*100</f>
        <v>83.07231690465223</v>
      </c>
      <c r="V9" s="922">
        <f>V19+V29</f>
        <v>4621</v>
      </c>
      <c r="W9" s="923">
        <f>W19+W29</f>
        <v>3780</v>
      </c>
      <c r="X9" s="925">
        <f>W9/V9*100</f>
        <v>81.80047608742697</v>
      </c>
      <c r="Y9" s="899"/>
      <c r="Z9" s="884"/>
      <c r="AA9" s="884"/>
      <c r="AB9" s="884"/>
    </row>
    <row r="10" spans="1:28" ht="16.5" customHeight="1">
      <c r="A10" s="926"/>
      <c r="B10" s="842"/>
      <c r="C10" s="903" t="s">
        <v>5</v>
      </c>
      <c r="D10" s="904">
        <v>2976</v>
      </c>
      <c r="E10" s="905">
        <v>2227</v>
      </c>
      <c r="F10" s="906">
        <f aca="true" t="shared" si="0" ref="F10:F15">E10/D10*100</f>
        <v>74.83198924731182</v>
      </c>
      <c r="G10" s="904">
        <v>3202</v>
      </c>
      <c r="H10" s="905">
        <v>2485</v>
      </c>
      <c r="I10" s="906">
        <f aca="true" t="shared" si="1" ref="I10:I15">H10/G10*100</f>
        <v>77.60774515927545</v>
      </c>
      <c r="J10" s="907">
        <f>J11+J12</f>
        <v>3417</v>
      </c>
      <c r="K10" s="908">
        <f>K11+K12</f>
        <v>2577</v>
      </c>
      <c r="L10" s="909">
        <f aca="true" t="shared" si="2" ref="L10:L15">K10/J10*100</f>
        <v>75.41703248463566</v>
      </c>
      <c r="M10" s="904">
        <f>M11+M12</f>
        <v>3454</v>
      </c>
      <c r="N10" s="908">
        <f>N11+N12</f>
        <v>2723</v>
      </c>
      <c r="O10" s="909">
        <f aca="true" t="shared" si="3" ref="O10:O15">N10/M10*100</f>
        <v>78.8361320208454</v>
      </c>
      <c r="P10" s="913">
        <f>P11+P12</f>
        <v>3534</v>
      </c>
      <c r="Q10" s="914">
        <f>Q11+Q12</f>
        <v>2926</v>
      </c>
      <c r="R10" s="909">
        <f aca="true" t="shared" si="4" ref="R10:R15">Q10/P10*100</f>
        <v>82.79569892473118</v>
      </c>
      <c r="S10" s="913">
        <f>S11+S12</f>
        <v>3765</v>
      </c>
      <c r="T10" s="914">
        <f>T11+T12</f>
        <v>3156</v>
      </c>
      <c r="U10" s="906">
        <f aca="true" t="shared" si="5" ref="U10:U15">T10/S10*100</f>
        <v>83.82470119521912</v>
      </c>
      <c r="V10" s="913">
        <f>V11+V12</f>
        <v>3911</v>
      </c>
      <c r="W10" s="914">
        <f>W11+W12</f>
        <v>3209</v>
      </c>
      <c r="X10" s="906">
        <f aca="true" t="shared" si="6" ref="X10:X15">W10/V10*100</f>
        <v>82.05062643825109</v>
      </c>
      <c r="Y10" s="899"/>
      <c r="Z10" s="884"/>
      <c r="AA10" s="884"/>
      <c r="AB10" s="884"/>
    </row>
    <row r="11" spans="1:28" ht="16.5" customHeight="1">
      <c r="A11" s="831" t="s">
        <v>212</v>
      </c>
      <c r="B11" s="853"/>
      <c r="C11" s="903" t="s">
        <v>47</v>
      </c>
      <c r="D11" s="904">
        <v>1453</v>
      </c>
      <c r="E11" s="905">
        <v>1024</v>
      </c>
      <c r="F11" s="906">
        <f t="shared" si="0"/>
        <v>70.474879559532</v>
      </c>
      <c r="G11" s="904">
        <v>1577</v>
      </c>
      <c r="H11" s="905">
        <v>1171</v>
      </c>
      <c r="I11" s="906">
        <f t="shared" si="1"/>
        <v>74.25491439441979</v>
      </c>
      <c r="J11" s="904">
        <v>1685</v>
      </c>
      <c r="K11" s="905">
        <v>1168</v>
      </c>
      <c r="L11" s="909">
        <f t="shared" si="2"/>
        <v>69.31750741839762</v>
      </c>
      <c r="M11" s="904">
        <v>1748</v>
      </c>
      <c r="N11" s="905">
        <v>1286</v>
      </c>
      <c r="O11" s="909">
        <f t="shared" si="3"/>
        <v>73.56979405034325</v>
      </c>
      <c r="P11" s="913">
        <v>1734</v>
      </c>
      <c r="Q11" s="914">
        <v>1353</v>
      </c>
      <c r="R11" s="909">
        <f t="shared" si="4"/>
        <v>78.02768166089965</v>
      </c>
      <c r="S11" s="913">
        <v>1873</v>
      </c>
      <c r="T11" s="914">
        <v>1461</v>
      </c>
      <c r="U11" s="906">
        <f t="shared" si="5"/>
        <v>78.00320341697811</v>
      </c>
      <c r="V11" s="913">
        <v>1866</v>
      </c>
      <c r="W11" s="914">
        <v>1410</v>
      </c>
      <c r="X11" s="906">
        <f t="shared" si="6"/>
        <v>75.56270096463022</v>
      </c>
      <c r="Y11" s="899"/>
      <c r="Z11" s="884"/>
      <c r="AA11" s="884"/>
      <c r="AB11" s="884"/>
    </row>
    <row r="12" spans="1:28" ht="16.5" customHeight="1">
      <c r="A12" s="834"/>
      <c r="B12" s="849" t="s">
        <v>106</v>
      </c>
      <c r="C12" s="915" t="s">
        <v>48</v>
      </c>
      <c r="D12" s="916">
        <v>1523</v>
      </c>
      <c r="E12" s="917">
        <v>1203</v>
      </c>
      <c r="F12" s="925">
        <f t="shared" si="0"/>
        <v>78.98883782009193</v>
      </c>
      <c r="G12" s="916">
        <v>1625</v>
      </c>
      <c r="H12" s="917">
        <v>1314</v>
      </c>
      <c r="I12" s="925">
        <f t="shared" si="1"/>
        <v>80.86153846153846</v>
      </c>
      <c r="J12" s="916">
        <v>1732</v>
      </c>
      <c r="K12" s="917">
        <v>1409</v>
      </c>
      <c r="L12" s="924">
        <f t="shared" si="2"/>
        <v>81.35103926096998</v>
      </c>
      <c r="M12" s="916">
        <v>1706</v>
      </c>
      <c r="N12" s="917">
        <v>1437</v>
      </c>
      <c r="O12" s="924">
        <f t="shared" si="3"/>
        <v>84.23212192262602</v>
      </c>
      <c r="P12" s="922">
        <v>1800</v>
      </c>
      <c r="Q12" s="923">
        <v>1573</v>
      </c>
      <c r="R12" s="924">
        <f t="shared" si="4"/>
        <v>87.3888888888889</v>
      </c>
      <c r="S12" s="922">
        <v>1892</v>
      </c>
      <c r="T12" s="923">
        <v>1695</v>
      </c>
      <c r="U12" s="925">
        <f t="shared" si="5"/>
        <v>89.58773784355179</v>
      </c>
      <c r="V12" s="922">
        <v>2045</v>
      </c>
      <c r="W12" s="923">
        <v>1799</v>
      </c>
      <c r="X12" s="925">
        <f t="shared" si="6"/>
        <v>87.97066014669926</v>
      </c>
      <c r="Y12" s="899"/>
      <c r="Z12" s="884"/>
      <c r="AA12" s="884"/>
      <c r="AB12" s="884"/>
    </row>
    <row r="13" spans="1:28" ht="16.5" customHeight="1">
      <c r="A13" s="927"/>
      <c r="B13" s="853"/>
      <c r="C13" s="903" t="s">
        <v>5</v>
      </c>
      <c r="D13" s="904">
        <f>D14+D15</f>
        <v>3820</v>
      </c>
      <c r="E13" s="905">
        <f>E14+E15</f>
        <v>2747</v>
      </c>
      <c r="F13" s="906">
        <f t="shared" si="0"/>
        <v>71.91099476439791</v>
      </c>
      <c r="G13" s="904">
        <f>G14+G15</f>
        <v>3643</v>
      </c>
      <c r="H13" s="905">
        <f>H14+H15</f>
        <v>2704</v>
      </c>
      <c r="I13" s="906">
        <f t="shared" si="1"/>
        <v>74.22454021410925</v>
      </c>
      <c r="J13" s="904">
        <f>J14+J15</f>
        <v>3788</v>
      </c>
      <c r="K13" s="905">
        <f>K14+K15</f>
        <v>2834</v>
      </c>
      <c r="L13" s="906">
        <f t="shared" si="2"/>
        <v>74.81520591341078</v>
      </c>
      <c r="M13" s="904">
        <f>M14+M15</f>
        <v>3429</v>
      </c>
      <c r="N13" s="905">
        <f>N14+N15</f>
        <v>2522</v>
      </c>
      <c r="O13" s="909">
        <f t="shared" si="3"/>
        <v>73.54913969087198</v>
      </c>
      <c r="P13" s="904">
        <f>P14+P15</f>
        <v>3740</v>
      </c>
      <c r="Q13" s="905">
        <f>Q14+Q15</f>
        <v>2760</v>
      </c>
      <c r="R13" s="909">
        <f t="shared" si="4"/>
        <v>73.79679144385027</v>
      </c>
      <c r="S13" s="904">
        <f>S14+S15</f>
        <v>4275</v>
      </c>
      <c r="T13" s="905">
        <f>T14+T15</f>
        <v>3220</v>
      </c>
      <c r="U13" s="906">
        <f t="shared" si="5"/>
        <v>75.3216374269006</v>
      </c>
      <c r="V13" s="1024">
        <f>V14+V15</f>
        <v>4606</v>
      </c>
      <c r="W13" s="1026">
        <f>W14+W15</f>
        <v>3413</v>
      </c>
      <c r="X13" s="906">
        <f t="shared" si="6"/>
        <v>74.09900130264872</v>
      </c>
      <c r="Y13" s="899"/>
      <c r="Z13" s="884"/>
      <c r="AA13" s="884"/>
      <c r="AB13" s="884"/>
    </row>
    <row r="14" spans="1:28" ht="16.5" customHeight="1">
      <c r="A14" s="831" t="s">
        <v>213</v>
      </c>
      <c r="B14" s="832"/>
      <c r="C14" s="903" t="s">
        <v>47</v>
      </c>
      <c r="D14" s="904">
        <f>D8-D11</f>
        <v>1728</v>
      </c>
      <c r="E14" s="905">
        <f>E8-E11</f>
        <v>1204</v>
      </c>
      <c r="F14" s="906">
        <f t="shared" si="0"/>
        <v>69.67592592592592</v>
      </c>
      <c r="G14" s="904">
        <f>G8-G11</f>
        <v>1586</v>
      </c>
      <c r="H14" s="905">
        <f>H8-H11</f>
        <v>1167</v>
      </c>
      <c r="I14" s="906">
        <f t="shared" si="1"/>
        <v>73.58133669609079</v>
      </c>
      <c r="J14" s="904">
        <f>J8-J11</f>
        <v>1622</v>
      </c>
      <c r="K14" s="905">
        <f>K8-K11</f>
        <v>1178</v>
      </c>
      <c r="L14" s="906">
        <f t="shared" si="2"/>
        <v>72.62638717632552</v>
      </c>
      <c r="M14" s="904">
        <f>M8-M11</f>
        <v>1461</v>
      </c>
      <c r="N14" s="905">
        <f>N8-N11</f>
        <v>1042</v>
      </c>
      <c r="O14" s="909">
        <f t="shared" si="3"/>
        <v>71.32101300479124</v>
      </c>
      <c r="P14" s="904">
        <f>P8-P11</f>
        <v>1567</v>
      </c>
      <c r="Q14" s="905">
        <f>Q8-Q11</f>
        <v>1077</v>
      </c>
      <c r="R14" s="909">
        <f t="shared" si="4"/>
        <v>68.73005743458839</v>
      </c>
      <c r="S14" s="904">
        <f>S8-S11</f>
        <v>1825</v>
      </c>
      <c r="T14" s="905">
        <f>T8-T11</f>
        <v>1308</v>
      </c>
      <c r="U14" s="906">
        <f t="shared" si="5"/>
        <v>71.67123287671234</v>
      </c>
      <c r="V14" s="1024">
        <f>V8-V11</f>
        <v>2030</v>
      </c>
      <c r="W14" s="1026">
        <f>W8-W11</f>
        <v>1432</v>
      </c>
      <c r="X14" s="906">
        <f t="shared" si="6"/>
        <v>70.54187192118226</v>
      </c>
      <c r="Y14" s="899"/>
      <c r="Z14" s="884"/>
      <c r="AA14" s="884"/>
      <c r="AB14" s="884"/>
    </row>
    <row r="15" spans="1:28" ht="16.5" customHeight="1">
      <c r="A15" s="834" t="s">
        <v>106</v>
      </c>
      <c r="B15" s="835"/>
      <c r="C15" s="915" t="s">
        <v>48</v>
      </c>
      <c r="D15" s="916">
        <f>D9-D12</f>
        <v>2092</v>
      </c>
      <c r="E15" s="917">
        <f>E9-E12</f>
        <v>1543</v>
      </c>
      <c r="F15" s="918">
        <f t="shared" si="0"/>
        <v>73.75717017208413</v>
      </c>
      <c r="G15" s="916">
        <f>G9-G12</f>
        <v>2057</v>
      </c>
      <c r="H15" s="917">
        <f>H9-H12</f>
        <v>1537</v>
      </c>
      <c r="I15" s="918">
        <f t="shared" si="1"/>
        <v>74.72046669907633</v>
      </c>
      <c r="J15" s="916">
        <f>J9-J12</f>
        <v>2166</v>
      </c>
      <c r="K15" s="917">
        <f>K9-K12</f>
        <v>1656</v>
      </c>
      <c r="L15" s="918">
        <f t="shared" si="2"/>
        <v>76.45429362880887</v>
      </c>
      <c r="M15" s="916">
        <f>M9-M12</f>
        <v>1968</v>
      </c>
      <c r="N15" s="917">
        <f>N9-N12</f>
        <v>1480</v>
      </c>
      <c r="O15" s="921">
        <f t="shared" si="3"/>
        <v>75.20325203252033</v>
      </c>
      <c r="P15" s="916">
        <f>P9-P12</f>
        <v>2173</v>
      </c>
      <c r="Q15" s="917">
        <f>Q9-Q12</f>
        <v>1683</v>
      </c>
      <c r="R15" s="921">
        <f t="shared" si="4"/>
        <v>77.45052922227336</v>
      </c>
      <c r="S15" s="916">
        <f>S9-S12</f>
        <v>2450</v>
      </c>
      <c r="T15" s="917">
        <f>T9-T12</f>
        <v>1912</v>
      </c>
      <c r="U15" s="918">
        <f t="shared" si="5"/>
        <v>78.04081632653062</v>
      </c>
      <c r="V15" s="1025">
        <f>V9-V12</f>
        <v>2576</v>
      </c>
      <c r="W15" s="1027">
        <f>W9-W12</f>
        <v>1981</v>
      </c>
      <c r="X15" s="918">
        <f t="shared" si="6"/>
        <v>76.90217391304348</v>
      </c>
      <c r="Y15" s="899"/>
      <c r="Z15" s="884"/>
      <c r="AA15" s="884"/>
      <c r="AB15" s="884"/>
    </row>
    <row r="16" spans="1:28" ht="22.5" customHeight="1">
      <c r="A16" s="1465" t="s">
        <v>2</v>
      </c>
      <c r="B16" s="1466"/>
      <c r="C16" s="1466"/>
      <c r="D16" s="1466"/>
      <c r="E16" s="1466"/>
      <c r="F16" s="1466"/>
      <c r="G16" s="1466"/>
      <c r="H16" s="1466"/>
      <c r="I16" s="1466"/>
      <c r="J16" s="1466"/>
      <c r="K16" s="1466"/>
      <c r="L16" s="1466"/>
      <c r="M16" s="1466"/>
      <c r="N16" s="1466"/>
      <c r="O16" s="1466"/>
      <c r="P16" s="1466"/>
      <c r="Q16" s="1466"/>
      <c r="R16" s="1466"/>
      <c r="S16" s="1466"/>
      <c r="T16" s="1466"/>
      <c r="U16" s="1466"/>
      <c r="V16" s="1466"/>
      <c r="W16" s="1466"/>
      <c r="X16" s="1467"/>
      <c r="Y16" s="899"/>
      <c r="Z16" s="884"/>
      <c r="AA16" s="884"/>
      <c r="AB16" s="884"/>
    </row>
    <row r="17" spans="1:28" ht="16.5" customHeight="1">
      <c r="A17" s="859"/>
      <c r="B17" s="928"/>
      <c r="C17" s="929" t="s">
        <v>5</v>
      </c>
      <c r="D17" s="905">
        <f aca="true" t="shared" si="7" ref="D17:E19">D7-D27</f>
        <v>6648</v>
      </c>
      <c r="E17" s="905">
        <f t="shared" si="7"/>
        <v>4882</v>
      </c>
      <c r="F17" s="906">
        <f aca="true" t="shared" si="8" ref="F17:F29">E17/D17*100</f>
        <v>73.43561973525873</v>
      </c>
      <c r="G17" s="905">
        <f aca="true" t="shared" si="9" ref="G17:H19">G7-G27</f>
        <v>6668</v>
      </c>
      <c r="H17" s="905">
        <f t="shared" si="9"/>
        <v>5085</v>
      </c>
      <c r="I17" s="906">
        <f aca="true" t="shared" si="10" ref="I17:I29">H17/G17*100</f>
        <v>76.25974805038992</v>
      </c>
      <c r="J17" s="905">
        <f>J18+J19</f>
        <v>7024</v>
      </c>
      <c r="K17" s="905">
        <f>K18+K19</f>
        <v>5310</v>
      </c>
      <c r="L17" s="909">
        <f aca="true" t="shared" si="11" ref="L17:L29">K17/J17*100</f>
        <v>75.59794988610479</v>
      </c>
      <c r="M17" s="904">
        <f>M18+M19</f>
        <v>6683</v>
      </c>
      <c r="N17" s="905">
        <f>N18+N19</f>
        <v>5136</v>
      </c>
      <c r="O17" s="909">
        <v>76.8</v>
      </c>
      <c r="P17" s="910">
        <f>P18+P19</f>
        <v>7106</v>
      </c>
      <c r="Q17" s="911">
        <f>Q18+Q19</f>
        <v>5555</v>
      </c>
      <c r="R17" s="909">
        <f>Q17/P17*100</f>
        <v>78.1733746130031</v>
      </c>
      <c r="S17" s="910">
        <f>S18+S19</f>
        <v>7849</v>
      </c>
      <c r="T17" s="911">
        <f>T18+T19</f>
        <v>6234</v>
      </c>
      <c r="U17" s="912">
        <f>T17/S17*100</f>
        <v>79.4241304624793</v>
      </c>
      <c r="V17" s="910">
        <f>V18+V19</f>
        <v>8290</v>
      </c>
      <c r="W17" s="911">
        <f>W18+W19</f>
        <v>6456</v>
      </c>
      <c r="X17" s="912">
        <f>W17/V17*100</f>
        <v>77.87696019300363</v>
      </c>
      <c r="Y17" s="899"/>
      <c r="Z17" s="884"/>
      <c r="AA17" s="884"/>
      <c r="AB17" s="884"/>
    </row>
    <row r="18" spans="1:28" ht="16.5" customHeight="1">
      <c r="A18" s="930" t="s">
        <v>211</v>
      </c>
      <c r="B18" s="853"/>
      <c r="C18" s="903" t="s">
        <v>47</v>
      </c>
      <c r="D18" s="905">
        <f t="shared" si="7"/>
        <v>3104</v>
      </c>
      <c r="E18" s="905">
        <f t="shared" si="7"/>
        <v>2176</v>
      </c>
      <c r="F18" s="906">
        <f t="shared" si="8"/>
        <v>70.10309278350515</v>
      </c>
      <c r="G18" s="905">
        <f t="shared" si="9"/>
        <v>3077</v>
      </c>
      <c r="H18" s="905">
        <f t="shared" si="9"/>
        <v>2287</v>
      </c>
      <c r="I18" s="906">
        <f t="shared" si="10"/>
        <v>74.32564185895353</v>
      </c>
      <c r="J18" s="905">
        <f>J21+J24</f>
        <v>3216</v>
      </c>
      <c r="K18" s="905">
        <f>K21+K24</f>
        <v>2296</v>
      </c>
      <c r="L18" s="909">
        <f t="shared" si="11"/>
        <v>71.39303482587064</v>
      </c>
      <c r="M18" s="904">
        <f>M21+M24</f>
        <v>3107</v>
      </c>
      <c r="N18" s="905">
        <f>N21+N24</f>
        <v>2268</v>
      </c>
      <c r="O18" s="909">
        <f aca="true" t="shared" si="12" ref="O18:O25">N18/M18*100</f>
        <v>72.99645960733827</v>
      </c>
      <c r="P18" s="913">
        <f>P21+P24</f>
        <v>3225</v>
      </c>
      <c r="Q18" s="914">
        <f>Q21+Q24</f>
        <v>2375</v>
      </c>
      <c r="R18" s="909">
        <f>Q18/P18*100</f>
        <v>73.64341085271317</v>
      </c>
      <c r="S18" s="913">
        <f>S21+S24</f>
        <v>3618</v>
      </c>
      <c r="T18" s="914">
        <f>T21+T24</f>
        <v>2709</v>
      </c>
      <c r="U18" s="906">
        <f>T18/S18*100</f>
        <v>74.87562189054727</v>
      </c>
      <c r="V18" s="913">
        <f>V21+V24</f>
        <v>3796</v>
      </c>
      <c r="W18" s="914">
        <f>W21+W24</f>
        <v>2764</v>
      </c>
      <c r="X18" s="906">
        <f>W18/V18*100</f>
        <v>72.81348788198103</v>
      </c>
      <c r="Y18" s="899"/>
      <c r="Z18" s="884"/>
      <c r="AA18" s="884"/>
      <c r="AB18" s="884"/>
    </row>
    <row r="19" spans="1:28" ht="16.5" customHeight="1">
      <c r="A19" s="834"/>
      <c r="B19" s="849" t="s">
        <v>106</v>
      </c>
      <c r="C19" s="915" t="s">
        <v>48</v>
      </c>
      <c r="D19" s="917">
        <f t="shared" si="7"/>
        <v>3544</v>
      </c>
      <c r="E19" s="917">
        <f t="shared" si="7"/>
        <v>2706</v>
      </c>
      <c r="F19" s="925">
        <f t="shared" si="8"/>
        <v>76.35440180586907</v>
      </c>
      <c r="G19" s="917">
        <f t="shared" si="9"/>
        <v>3591</v>
      </c>
      <c r="H19" s="917">
        <f t="shared" si="9"/>
        <v>2798</v>
      </c>
      <c r="I19" s="925">
        <f t="shared" si="10"/>
        <v>77.91701475912002</v>
      </c>
      <c r="J19" s="919">
        <f>J22+J25</f>
        <v>3808</v>
      </c>
      <c r="K19" s="917">
        <f>K22+K25</f>
        <v>3014</v>
      </c>
      <c r="L19" s="924">
        <f t="shared" si="11"/>
        <v>79.14915966386555</v>
      </c>
      <c r="M19" s="916">
        <f>M22+M25</f>
        <v>3576</v>
      </c>
      <c r="N19" s="917">
        <f>N22+N25</f>
        <v>2868</v>
      </c>
      <c r="O19" s="924">
        <f t="shared" si="12"/>
        <v>80.20134228187919</v>
      </c>
      <c r="P19" s="922">
        <f>P22+P25</f>
        <v>3881</v>
      </c>
      <c r="Q19" s="923">
        <f>Q22+Q25</f>
        <v>3180</v>
      </c>
      <c r="R19" s="924">
        <f>Q19/P19*100</f>
        <v>81.93764493687195</v>
      </c>
      <c r="S19" s="922">
        <f>S22+S25</f>
        <v>4231</v>
      </c>
      <c r="T19" s="923">
        <f>T22+T25</f>
        <v>3525</v>
      </c>
      <c r="U19" s="925">
        <f>T19/S19*100</f>
        <v>83.31363743795794</v>
      </c>
      <c r="V19" s="922">
        <f>V22+V25</f>
        <v>4494</v>
      </c>
      <c r="W19" s="923">
        <f>W22+W25</f>
        <v>3692</v>
      </c>
      <c r="X19" s="925">
        <f>W19/V19*100</f>
        <v>82.15398308856253</v>
      </c>
      <c r="Y19" s="899"/>
      <c r="Z19" s="884"/>
      <c r="AA19" s="884"/>
      <c r="AB19" s="884"/>
    </row>
    <row r="20" spans="1:28" ht="16.5" customHeight="1">
      <c r="A20" s="926"/>
      <c r="B20" s="842"/>
      <c r="C20" s="903" t="s">
        <v>5</v>
      </c>
      <c r="D20" s="904">
        <v>2976</v>
      </c>
      <c r="E20" s="905">
        <v>2227</v>
      </c>
      <c r="F20" s="906">
        <f t="shared" si="8"/>
        <v>74.83198924731182</v>
      </c>
      <c r="G20" s="904">
        <v>3202</v>
      </c>
      <c r="H20" s="905">
        <v>2485</v>
      </c>
      <c r="I20" s="906">
        <f t="shared" si="10"/>
        <v>77.60774515927545</v>
      </c>
      <c r="J20" s="907">
        <f>J21+J22</f>
        <v>3417</v>
      </c>
      <c r="K20" s="908">
        <f>K21+K22</f>
        <v>2577</v>
      </c>
      <c r="L20" s="909">
        <f t="shared" si="11"/>
        <v>75.41703248463566</v>
      </c>
      <c r="M20" s="904">
        <f>M21+M22</f>
        <v>3454</v>
      </c>
      <c r="N20" s="908">
        <f>N21+N22</f>
        <v>2723</v>
      </c>
      <c r="O20" s="909">
        <f t="shared" si="12"/>
        <v>78.8361320208454</v>
      </c>
      <c r="P20" s="913">
        <f>P21+P22</f>
        <v>3534</v>
      </c>
      <c r="Q20" s="914">
        <f>Q21+Q22</f>
        <v>2926</v>
      </c>
      <c r="R20" s="909">
        <f aca="true" t="shared" si="13" ref="R20:R25">Q20/P20*100</f>
        <v>82.79569892473118</v>
      </c>
      <c r="S20" s="913">
        <f>S21+S22</f>
        <v>3765</v>
      </c>
      <c r="T20" s="914">
        <f>T21+T22</f>
        <v>3156</v>
      </c>
      <c r="U20" s="906">
        <f aca="true" t="shared" si="14" ref="U20:U25">T20/S20*100</f>
        <v>83.82470119521912</v>
      </c>
      <c r="V20" s="913">
        <f>V21+V22</f>
        <v>3911</v>
      </c>
      <c r="W20" s="914">
        <f>W21+W22</f>
        <v>3209</v>
      </c>
      <c r="X20" s="906">
        <f aca="true" t="shared" si="15" ref="X20:X25">W20/V20*100</f>
        <v>82.05062643825109</v>
      </c>
      <c r="Y20" s="899"/>
      <c r="Z20" s="884"/>
      <c r="AA20" s="884"/>
      <c r="AB20" s="884"/>
    </row>
    <row r="21" spans="1:28" ht="16.5" customHeight="1">
      <c r="A21" s="831" t="s">
        <v>212</v>
      </c>
      <c r="B21" s="853"/>
      <c r="C21" s="903" t="s">
        <v>47</v>
      </c>
      <c r="D21" s="904">
        <v>1453</v>
      </c>
      <c r="E21" s="905">
        <v>1024</v>
      </c>
      <c r="F21" s="906">
        <f t="shared" si="8"/>
        <v>70.474879559532</v>
      </c>
      <c r="G21" s="904">
        <v>1577</v>
      </c>
      <c r="H21" s="905">
        <v>1171</v>
      </c>
      <c r="I21" s="906">
        <f t="shared" si="10"/>
        <v>74.25491439441979</v>
      </c>
      <c r="J21" s="904">
        <v>1685</v>
      </c>
      <c r="K21" s="905">
        <v>1168</v>
      </c>
      <c r="L21" s="909">
        <f t="shared" si="11"/>
        <v>69.31750741839762</v>
      </c>
      <c r="M21" s="904">
        <v>1748</v>
      </c>
      <c r="N21" s="905">
        <v>1286</v>
      </c>
      <c r="O21" s="909">
        <f t="shared" si="12"/>
        <v>73.56979405034325</v>
      </c>
      <c r="P21" s="913">
        <v>1734</v>
      </c>
      <c r="Q21" s="914">
        <v>1353</v>
      </c>
      <c r="R21" s="909">
        <f t="shared" si="13"/>
        <v>78.02768166089965</v>
      </c>
      <c r="S21" s="913">
        <v>1873</v>
      </c>
      <c r="T21" s="914">
        <v>1461</v>
      </c>
      <c r="U21" s="906">
        <f t="shared" si="14"/>
        <v>78.00320341697811</v>
      </c>
      <c r="V21" s="913">
        <v>1866</v>
      </c>
      <c r="W21" s="914">
        <v>1410</v>
      </c>
      <c r="X21" s="906">
        <f t="shared" si="15"/>
        <v>75.56270096463022</v>
      </c>
      <c r="Y21" s="899"/>
      <c r="Z21" s="884"/>
      <c r="AA21" s="884"/>
      <c r="AB21" s="884"/>
    </row>
    <row r="22" spans="1:28" ht="16.5" customHeight="1">
      <c r="A22" s="834"/>
      <c r="B22" s="849" t="s">
        <v>106</v>
      </c>
      <c r="C22" s="915" t="s">
        <v>48</v>
      </c>
      <c r="D22" s="916">
        <v>1523</v>
      </c>
      <c r="E22" s="917">
        <v>1203</v>
      </c>
      <c r="F22" s="925">
        <f t="shared" si="8"/>
        <v>78.98883782009193</v>
      </c>
      <c r="G22" s="916">
        <v>1625</v>
      </c>
      <c r="H22" s="917">
        <v>1314</v>
      </c>
      <c r="I22" s="925">
        <f t="shared" si="10"/>
        <v>80.86153846153846</v>
      </c>
      <c r="J22" s="916">
        <v>1732</v>
      </c>
      <c r="K22" s="917">
        <v>1409</v>
      </c>
      <c r="L22" s="924">
        <f t="shared" si="11"/>
        <v>81.35103926096998</v>
      </c>
      <c r="M22" s="916">
        <v>1706</v>
      </c>
      <c r="N22" s="917">
        <v>1437</v>
      </c>
      <c r="O22" s="924">
        <f t="shared" si="12"/>
        <v>84.23212192262602</v>
      </c>
      <c r="P22" s="922">
        <v>1800</v>
      </c>
      <c r="Q22" s="923">
        <v>1573</v>
      </c>
      <c r="R22" s="924">
        <f t="shared" si="13"/>
        <v>87.3888888888889</v>
      </c>
      <c r="S22" s="922">
        <v>1892</v>
      </c>
      <c r="T22" s="923">
        <v>1695</v>
      </c>
      <c r="U22" s="925">
        <f t="shared" si="14"/>
        <v>89.58773784355179</v>
      </c>
      <c r="V22" s="922">
        <v>2045</v>
      </c>
      <c r="W22" s="923">
        <v>1799</v>
      </c>
      <c r="X22" s="925">
        <f t="shared" si="15"/>
        <v>87.97066014669926</v>
      </c>
      <c r="Y22" s="899"/>
      <c r="Z22" s="884"/>
      <c r="AA22" s="884"/>
      <c r="AB22" s="884"/>
    </row>
    <row r="23" spans="1:28" ht="16.5" customHeight="1">
      <c r="A23" s="927"/>
      <c r="B23" s="853"/>
      <c r="C23" s="903" t="s">
        <v>5</v>
      </c>
      <c r="D23" s="904">
        <v>3672</v>
      </c>
      <c r="E23" s="905">
        <v>2655</v>
      </c>
      <c r="F23" s="906">
        <f t="shared" si="8"/>
        <v>72.30392156862744</v>
      </c>
      <c r="G23" s="904">
        <v>3466</v>
      </c>
      <c r="H23" s="905">
        <v>2600</v>
      </c>
      <c r="I23" s="906">
        <f t="shared" si="10"/>
        <v>75.01442585112522</v>
      </c>
      <c r="J23" s="907">
        <f>J24+J25</f>
        <v>3607</v>
      </c>
      <c r="K23" s="908">
        <f>K24+K25</f>
        <v>2733</v>
      </c>
      <c r="L23" s="909">
        <f t="shared" si="11"/>
        <v>75.76933739950097</v>
      </c>
      <c r="M23" s="904">
        <f>M24+M25</f>
        <v>3229</v>
      </c>
      <c r="N23" s="908">
        <f>N24+N25</f>
        <v>2413</v>
      </c>
      <c r="O23" s="909">
        <f t="shared" si="12"/>
        <v>74.7290182719108</v>
      </c>
      <c r="P23" s="913">
        <f>P24+P25</f>
        <v>3572</v>
      </c>
      <c r="Q23" s="914">
        <f>Q24+Q25</f>
        <v>2629</v>
      </c>
      <c r="R23" s="909">
        <f t="shared" si="13"/>
        <v>73.60022396416574</v>
      </c>
      <c r="S23" s="913">
        <f>S24+S25</f>
        <v>4084</v>
      </c>
      <c r="T23" s="914">
        <f>T24+T25</f>
        <v>3078</v>
      </c>
      <c r="U23" s="906">
        <f t="shared" si="14"/>
        <v>75.36728697355534</v>
      </c>
      <c r="V23" s="913">
        <f>V24+V25</f>
        <v>4379</v>
      </c>
      <c r="W23" s="914">
        <f>W24+W25</f>
        <v>3247</v>
      </c>
      <c r="X23" s="906">
        <f t="shared" si="15"/>
        <v>74.14934916647637</v>
      </c>
      <c r="Y23" s="899"/>
      <c r="Z23" s="884"/>
      <c r="AA23" s="884"/>
      <c r="AB23" s="884"/>
    </row>
    <row r="24" spans="1:28" ht="16.5" customHeight="1">
      <c r="A24" s="831" t="s">
        <v>213</v>
      </c>
      <c r="B24" s="832"/>
      <c r="C24" s="903" t="s">
        <v>47</v>
      </c>
      <c r="D24" s="904">
        <v>1651</v>
      </c>
      <c r="E24" s="905">
        <v>1152</v>
      </c>
      <c r="F24" s="906">
        <f t="shared" si="8"/>
        <v>69.77589339794065</v>
      </c>
      <c r="G24" s="904">
        <v>1500</v>
      </c>
      <c r="H24" s="905">
        <v>1116</v>
      </c>
      <c r="I24" s="906">
        <f t="shared" si="10"/>
        <v>74.4</v>
      </c>
      <c r="J24" s="904">
        <v>1531</v>
      </c>
      <c r="K24" s="905">
        <v>1128</v>
      </c>
      <c r="L24" s="909">
        <f t="shared" si="11"/>
        <v>73.6773350751143</v>
      </c>
      <c r="M24" s="904">
        <f>1345+14</f>
        <v>1359</v>
      </c>
      <c r="N24" s="905">
        <f>979+3</f>
        <v>982</v>
      </c>
      <c r="O24" s="909">
        <f t="shared" si="12"/>
        <v>72.25901398086827</v>
      </c>
      <c r="P24" s="913">
        <f>1422+69</f>
        <v>1491</v>
      </c>
      <c r="Q24" s="914">
        <f>998+24</f>
        <v>1022</v>
      </c>
      <c r="R24" s="909">
        <f t="shared" si="13"/>
        <v>68.54460093896714</v>
      </c>
      <c r="S24" s="913">
        <v>1745</v>
      </c>
      <c r="T24" s="914">
        <v>1248</v>
      </c>
      <c r="U24" s="906">
        <f t="shared" si="14"/>
        <v>71.51862464183381</v>
      </c>
      <c r="V24" s="913">
        <v>1930</v>
      </c>
      <c r="W24" s="914">
        <v>1354</v>
      </c>
      <c r="X24" s="906">
        <f t="shared" si="15"/>
        <v>70.15544041450778</v>
      </c>
      <c r="Y24" s="899"/>
      <c r="Z24" s="884"/>
      <c r="AA24" s="884"/>
      <c r="AB24" s="884"/>
    </row>
    <row r="25" spans="1:28" ht="16.5" customHeight="1">
      <c r="A25" s="834" t="s">
        <v>106</v>
      </c>
      <c r="B25" s="835"/>
      <c r="C25" s="915" t="s">
        <v>48</v>
      </c>
      <c r="D25" s="916">
        <v>2021</v>
      </c>
      <c r="E25" s="917">
        <v>1503</v>
      </c>
      <c r="F25" s="918">
        <f t="shared" si="8"/>
        <v>74.3691241959426</v>
      </c>
      <c r="G25" s="916">
        <v>1966</v>
      </c>
      <c r="H25" s="917">
        <v>1484</v>
      </c>
      <c r="I25" s="918">
        <f t="shared" si="10"/>
        <v>75.48321464903357</v>
      </c>
      <c r="J25" s="919">
        <v>2076</v>
      </c>
      <c r="K25" s="917">
        <v>1605</v>
      </c>
      <c r="L25" s="921">
        <f t="shared" si="11"/>
        <v>77.3121387283237</v>
      </c>
      <c r="M25" s="916">
        <f>1864+6</f>
        <v>1870</v>
      </c>
      <c r="N25" s="917">
        <f>1430+1</f>
        <v>1431</v>
      </c>
      <c r="O25" s="921">
        <f t="shared" si="12"/>
        <v>76.524064171123</v>
      </c>
      <c r="P25" s="922">
        <f>2040+41</f>
        <v>2081</v>
      </c>
      <c r="Q25" s="923">
        <f>1590+17</f>
        <v>1607</v>
      </c>
      <c r="R25" s="909">
        <f t="shared" si="13"/>
        <v>77.22248918789045</v>
      </c>
      <c r="S25" s="922">
        <v>2339</v>
      </c>
      <c r="T25" s="923">
        <v>1830</v>
      </c>
      <c r="U25" s="918">
        <f t="shared" si="14"/>
        <v>78.23856348867038</v>
      </c>
      <c r="V25" s="922">
        <v>2449</v>
      </c>
      <c r="W25" s="923">
        <v>1893</v>
      </c>
      <c r="X25" s="918">
        <f t="shared" si="15"/>
        <v>77.2968558595345</v>
      </c>
      <c r="Y25" s="899"/>
      <c r="Z25" s="884"/>
      <c r="AA25" s="884"/>
      <c r="AB25" s="884"/>
    </row>
    <row r="26" spans="1:28" ht="22.5" customHeight="1">
      <c r="A26" s="1484" t="s">
        <v>222</v>
      </c>
      <c r="B26" s="1485"/>
      <c r="C26" s="1485"/>
      <c r="D26" s="1485"/>
      <c r="E26" s="1485"/>
      <c r="F26" s="1485"/>
      <c r="G26" s="1485"/>
      <c r="H26" s="1485"/>
      <c r="I26" s="1485"/>
      <c r="J26" s="1485"/>
      <c r="K26" s="1485"/>
      <c r="L26" s="1485"/>
      <c r="M26" s="1485"/>
      <c r="N26" s="1485"/>
      <c r="O26" s="1485"/>
      <c r="P26" s="1485"/>
      <c r="Q26" s="1485"/>
      <c r="R26" s="1485"/>
      <c r="S26" s="1485"/>
      <c r="T26" s="1485"/>
      <c r="U26" s="1485"/>
      <c r="V26" s="1485"/>
      <c r="W26" s="1485"/>
      <c r="X26" s="1486"/>
      <c r="Y26" s="899"/>
      <c r="Z26" s="884"/>
      <c r="AA26" s="884"/>
      <c r="AB26" s="884"/>
    </row>
    <row r="27" spans="1:28" ht="16.5" customHeight="1">
      <c r="A27" s="824"/>
      <c r="B27" s="825"/>
      <c r="C27" s="903" t="s">
        <v>5</v>
      </c>
      <c r="D27" s="904">
        <v>148</v>
      </c>
      <c r="E27" s="905">
        <v>92</v>
      </c>
      <c r="F27" s="906">
        <f t="shared" si="8"/>
        <v>62.16216216216216</v>
      </c>
      <c r="G27" s="904">
        <v>177</v>
      </c>
      <c r="H27" s="905">
        <v>104</v>
      </c>
      <c r="I27" s="906">
        <f t="shared" si="10"/>
        <v>58.75706214689266</v>
      </c>
      <c r="J27" s="907">
        <f>J28+J29</f>
        <v>181</v>
      </c>
      <c r="K27" s="908">
        <f>K28+K29</f>
        <v>101</v>
      </c>
      <c r="L27" s="909">
        <f t="shared" si="11"/>
        <v>55.80110497237569</v>
      </c>
      <c r="M27" s="904">
        <f>M28+M29</f>
        <v>200</v>
      </c>
      <c r="N27" s="908">
        <f>N28+N29</f>
        <v>109</v>
      </c>
      <c r="O27" s="909">
        <f>N27/M27*100</f>
        <v>54.50000000000001</v>
      </c>
      <c r="P27" s="931">
        <f>P28+P29</f>
        <v>168</v>
      </c>
      <c r="Q27" s="932">
        <f>Q28+Q29</f>
        <v>131</v>
      </c>
      <c r="R27" s="909">
        <f>Q27/P27*100</f>
        <v>77.97619047619048</v>
      </c>
      <c r="S27" s="931">
        <f>S28+S29</f>
        <v>191</v>
      </c>
      <c r="T27" s="932">
        <f>T28+T29</f>
        <v>142</v>
      </c>
      <c r="U27" s="912">
        <f>T27/S27*100</f>
        <v>74.3455497382199</v>
      </c>
      <c r="V27" s="931">
        <f>V28+V29</f>
        <v>227</v>
      </c>
      <c r="W27" s="932">
        <f>W28+W29</f>
        <v>166</v>
      </c>
      <c r="X27" s="912">
        <f>W27/V27*100</f>
        <v>73.12775330396477</v>
      </c>
      <c r="Y27" s="899"/>
      <c r="Z27" s="884"/>
      <c r="AA27" s="884"/>
      <c r="AB27" s="884"/>
    </row>
    <row r="28" spans="1:28" ht="16.5" customHeight="1">
      <c r="A28" s="831" t="s">
        <v>211</v>
      </c>
      <c r="B28" s="832"/>
      <c r="C28" s="903" t="s">
        <v>47</v>
      </c>
      <c r="D28" s="904">
        <v>77</v>
      </c>
      <c r="E28" s="905">
        <v>52</v>
      </c>
      <c r="F28" s="933">
        <f t="shared" si="8"/>
        <v>67.53246753246754</v>
      </c>
      <c r="G28" s="904">
        <v>86</v>
      </c>
      <c r="H28" s="905">
        <v>51</v>
      </c>
      <c r="I28" s="933">
        <f t="shared" si="10"/>
        <v>59.30232558139535</v>
      </c>
      <c r="J28" s="904">
        <v>91</v>
      </c>
      <c r="K28" s="905">
        <v>50</v>
      </c>
      <c r="L28" s="934">
        <f t="shared" si="11"/>
        <v>54.94505494505495</v>
      </c>
      <c r="M28" s="904">
        <v>102</v>
      </c>
      <c r="N28" s="905">
        <v>60</v>
      </c>
      <c r="O28" s="934">
        <f>N28/M28*100</f>
        <v>58.82352941176471</v>
      </c>
      <c r="P28" s="935">
        <v>76</v>
      </c>
      <c r="Q28" s="936">
        <v>55</v>
      </c>
      <c r="R28" s="909">
        <f>Q28/P28*100</f>
        <v>72.36842105263158</v>
      </c>
      <c r="S28" s="935">
        <v>80</v>
      </c>
      <c r="T28" s="936">
        <v>60</v>
      </c>
      <c r="U28" s="906">
        <f>T28/S28*100</f>
        <v>75</v>
      </c>
      <c r="V28" s="935">
        <v>100</v>
      </c>
      <c r="W28" s="936">
        <v>78</v>
      </c>
      <c r="X28" s="906">
        <f>W28/V28*100</f>
        <v>78</v>
      </c>
      <c r="Y28" s="899"/>
      <c r="Z28" s="884"/>
      <c r="AA28" s="884"/>
      <c r="AB28" s="884"/>
    </row>
    <row r="29" spans="1:28" ht="16.5" customHeight="1" thickBot="1">
      <c r="A29" s="873" t="s">
        <v>106</v>
      </c>
      <c r="B29" s="874"/>
      <c r="C29" s="937" t="s">
        <v>48</v>
      </c>
      <c r="D29" s="938">
        <v>71</v>
      </c>
      <c r="E29" s="939">
        <v>40</v>
      </c>
      <c r="F29" s="940">
        <f t="shared" si="8"/>
        <v>56.33802816901409</v>
      </c>
      <c r="G29" s="938">
        <v>91</v>
      </c>
      <c r="H29" s="939">
        <v>53</v>
      </c>
      <c r="I29" s="940">
        <f t="shared" si="10"/>
        <v>58.24175824175825</v>
      </c>
      <c r="J29" s="938">
        <v>90</v>
      </c>
      <c r="K29" s="939">
        <v>51</v>
      </c>
      <c r="L29" s="941">
        <f t="shared" si="11"/>
        <v>56.666666666666664</v>
      </c>
      <c r="M29" s="938">
        <v>98</v>
      </c>
      <c r="N29" s="939">
        <v>49</v>
      </c>
      <c r="O29" s="941">
        <f>N29/M29*100</f>
        <v>50</v>
      </c>
      <c r="P29" s="942">
        <v>92</v>
      </c>
      <c r="Q29" s="943">
        <v>76</v>
      </c>
      <c r="R29" s="944">
        <f>Q29/P29*100</f>
        <v>82.6086956521739</v>
      </c>
      <c r="S29" s="942">
        <v>111</v>
      </c>
      <c r="T29" s="943">
        <v>82</v>
      </c>
      <c r="U29" s="945">
        <f>T29/S29*100</f>
        <v>73.87387387387388</v>
      </c>
      <c r="V29" s="942">
        <v>127</v>
      </c>
      <c r="W29" s="943">
        <v>88</v>
      </c>
      <c r="X29" s="945">
        <f>W29/V29*100</f>
        <v>69.29133858267717</v>
      </c>
      <c r="Y29" s="899"/>
      <c r="Z29" s="884"/>
      <c r="AA29" s="884"/>
      <c r="AB29" s="884"/>
    </row>
    <row r="30" spans="1:28" ht="15.75">
      <c r="A30" s="884" t="s">
        <v>221</v>
      </c>
      <c r="B30" s="884"/>
      <c r="C30" s="884"/>
      <c r="D30" s="884"/>
      <c r="E30" s="884"/>
      <c r="F30" s="885"/>
      <c r="G30" s="884"/>
      <c r="H30" s="884"/>
      <c r="I30" s="884"/>
      <c r="K30" s="884" t="s">
        <v>223</v>
      </c>
      <c r="L30" s="884"/>
      <c r="M30" s="884"/>
      <c r="N30" s="884"/>
      <c r="O30" s="884"/>
      <c r="P30" s="884"/>
      <c r="Q30" s="884"/>
      <c r="R30" s="884"/>
      <c r="S30" s="885" t="s">
        <v>224</v>
      </c>
      <c r="T30" s="884"/>
      <c r="U30" s="884"/>
      <c r="V30" s="884"/>
      <c r="W30" s="884"/>
      <c r="X30" s="884"/>
      <c r="Y30" s="946"/>
      <c r="Z30" s="884"/>
      <c r="AA30" s="884"/>
      <c r="AB30" s="884"/>
    </row>
    <row r="31" spans="1:28" ht="12.75">
      <c r="A31" s="884"/>
      <c r="B31" s="884"/>
      <c r="C31" s="884"/>
      <c r="D31" s="884"/>
      <c r="E31" s="884"/>
      <c r="F31" s="884"/>
      <c r="G31" s="884"/>
      <c r="H31" s="884"/>
      <c r="I31" s="884"/>
      <c r="J31" s="884"/>
      <c r="K31" s="884"/>
      <c r="P31" s="884"/>
      <c r="Q31" s="884"/>
      <c r="R31" s="884"/>
      <c r="S31" s="884"/>
      <c r="T31" s="884"/>
      <c r="U31" s="884"/>
      <c r="V31" s="884"/>
      <c r="W31" s="884"/>
      <c r="X31" s="884"/>
      <c r="Y31" s="143"/>
      <c r="Z31" s="884"/>
      <c r="AA31" s="884"/>
      <c r="AB31" s="884"/>
    </row>
    <row r="32" spans="1:28" ht="12.75">
      <c r="A32" s="884"/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6"/>
      <c r="X32" s="884"/>
      <c r="Y32" s="143"/>
      <c r="Z32" s="884"/>
      <c r="AA32" s="884"/>
      <c r="AB32" s="884"/>
    </row>
    <row r="33" spans="1:28" ht="12.75">
      <c r="A33" s="884"/>
      <c r="B33" s="884"/>
      <c r="C33" s="884"/>
      <c r="D33" s="884"/>
      <c r="E33" s="884"/>
      <c r="F33" s="884"/>
      <c r="G33" s="884"/>
      <c r="H33" s="884"/>
      <c r="I33" s="884"/>
      <c r="J33" s="884"/>
      <c r="K33" s="884"/>
      <c r="L33" s="884"/>
      <c r="M33" s="884"/>
      <c r="N33" s="884"/>
      <c r="O33" s="884"/>
      <c r="P33" s="884"/>
      <c r="Q33" s="884"/>
      <c r="R33" s="884"/>
      <c r="S33" s="884"/>
      <c r="T33" s="884"/>
      <c r="U33" s="884"/>
      <c r="V33" s="884"/>
      <c r="W33" s="884"/>
      <c r="X33" s="884"/>
      <c r="Y33" s="143"/>
      <c r="Z33" s="884"/>
      <c r="AA33" s="884"/>
      <c r="AB33" s="884"/>
    </row>
    <row r="34" spans="1:28" ht="12.75">
      <c r="A34" s="884"/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143"/>
      <c r="Z34" s="884"/>
      <c r="AA34" s="884"/>
      <c r="AB34" s="884"/>
    </row>
    <row r="35" spans="1:28" ht="12.75">
      <c r="A35" s="884"/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143"/>
      <c r="Z35" s="884"/>
      <c r="AA35" s="884"/>
      <c r="AB35" s="884"/>
    </row>
    <row r="36" spans="1:28" ht="12.75">
      <c r="A36" s="884"/>
      <c r="B36" s="884"/>
      <c r="C36" s="884"/>
      <c r="D36" s="884"/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143"/>
      <c r="Z36" s="884"/>
      <c r="AA36" s="884"/>
      <c r="AB36" s="884"/>
    </row>
    <row r="37" spans="1:28" ht="12.75">
      <c r="A37" s="884"/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143"/>
      <c r="Z37" s="884"/>
      <c r="AA37" s="884"/>
      <c r="AB37" s="884"/>
    </row>
    <row r="38" spans="1:28" ht="12.75">
      <c r="A38" s="884"/>
      <c r="B38" s="884"/>
      <c r="C38" s="884"/>
      <c r="D38" s="884"/>
      <c r="E38" s="884"/>
      <c r="F38" s="884"/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143"/>
      <c r="Z38" s="884"/>
      <c r="AA38" s="884"/>
      <c r="AB38" s="884"/>
    </row>
    <row r="39" spans="18:22" ht="12.75">
      <c r="R39" s="884"/>
      <c r="S39" s="884"/>
      <c r="T39" s="884"/>
      <c r="U39" s="884"/>
      <c r="V39" s="884"/>
    </row>
  </sheetData>
  <mergeCells count="8">
    <mergeCell ref="V4:X4"/>
    <mergeCell ref="A6:X6"/>
    <mergeCell ref="A16:X16"/>
    <mergeCell ref="A26:X26"/>
    <mergeCell ref="A4:C5"/>
    <mergeCell ref="S4:U4"/>
    <mergeCell ref="M4:O4"/>
    <mergeCell ref="P4:R4"/>
  </mergeCells>
  <printOptions/>
  <pageMargins left="0.39" right="0.23" top="0.68" bottom="0.26" header="0.31" footer="0.16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I1">
      <selection activeCell="N14" sqref="N14"/>
    </sheetView>
  </sheetViews>
  <sheetFormatPr defaultColWidth="9.140625" defaultRowHeight="12.75"/>
  <cols>
    <col min="1" max="1" width="27.00390625" style="948" customWidth="1"/>
    <col min="2" max="2" width="9.421875" style="948" customWidth="1"/>
    <col min="3" max="4" width="7.28125" style="947" customWidth="1"/>
    <col min="5" max="5" width="7.00390625" style="947" customWidth="1"/>
    <col min="6" max="7" width="6.57421875" style="947" customWidth="1"/>
    <col min="8" max="8" width="10.421875" style="947" customWidth="1"/>
    <col min="9" max="9" width="6.8515625" style="947" customWidth="1"/>
    <col min="10" max="10" width="6.421875" style="947" customWidth="1"/>
    <col min="11" max="11" width="9.7109375" style="947" customWidth="1"/>
    <col min="12" max="12" width="14.421875" style="947" customWidth="1"/>
    <col min="13" max="13" width="9.7109375" style="947" customWidth="1"/>
    <col min="14" max="14" width="6.7109375" style="947" customWidth="1"/>
    <col min="15" max="16384" width="9.140625" style="947" customWidth="1"/>
  </cols>
  <sheetData>
    <row r="1" spans="1:2" ht="19.5" customHeight="1">
      <c r="A1" s="947" t="s">
        <v>372</v>
      </c>
      <c r="B1" s="947"/>
    </row>
    <row r="2" ht="6" customHeight="1"/>
    <row r="3" spans="1:13" ht="18" customHeight="1">
      <c r="A3" s="1494" t="s">
        <v>225</v>
      </c>
      <c r="B3" s="1501" t="s">
        <v>5</v>
      </c>
      <c r="C3" s="1503" t="s">
        <v>365</v>
      </c>
      <c r="D3" s="1504"/>
      <c r="E3" s="1504"/>
      <c r="F3" s="1504"/>
      <c r="G3" s="1504"/>
      <c r="H3" s="1504"/>
      <c r="I3" s="1504"/>
      <c r="J3" s="1505"/>
      <c r="K3" s="993" t="s">
        <v>5</v>
      </c>
      <c r="L3" s="1506" t="s">
        <v>226</v>
      </c>
      <c r="M3" s="1494" t="s">
        <v>227</v>
      </c>
    </row>
    <row r="4" spans="1:13" ht="7.5" customHeight="1">
      <c r="A4" s="1499"/>
      <c r="B4" s="1502"/>
      <c r="C4" s="949"/>
      <c r="D4" s="950"/>
      <c r="E4" s="951"/>
      <c r="F4" s="951"/>
      <c r="G4" s="951"/>
      <c r="H4" s="951"/>
      <c r="I4" s="951"/>
      <c r="J4" s="952"/>
      <c r="K4" s="1497" t="s">
        <v>263</v>
      </c>
      <c r="L4" s="1507"/>
      <c r="M4" s="1495"/>
    </row>
    <row r="5" spans="1:13" s="948" customFormat="1" ht="13.5" customHeight="1">
      <c r="A5" s="1500"/>
      <c r="B5" s="1502"/>
      <c r="C5" s="953" t="s">
        <v>260</v>
      </c>
      <c r="D5" s="954" t="s">
        <v>228</v>
      </c>
      <c r="E5" s="955" t="s">
        <v>229</v>
      </c>
      <c r="F5" s="955" t="s">
        <v>230</v>
      </c>
      <c r="G5" s="955" t="s">
        <v>231</v>
      </c>
      <c r="H5" s="955" t="s">
        <v>232</v>
      </c>
      <c r="I5" s="955" t="s">
        <v>233</v>
      </c>
      <c r="J5" s="956" t="s">
        <v>234</v>
      </c>
      <c r="K5" s="1498"/>
      <c r="L5" s="1508"/>
      <c r="M5" s="1496"/>
    </row>
    <row r="6" spans="1:15" s="948" customFormat="1" ht="14.25" customHeight="1">
      <c r="A6" s="957" t="s">
        <v>366</v>
      </c>
      <c r="B6" s="1164">
        <f>SUM(C6:M6)-K6</f>
        <v>3655</v>
      </c>
      <c r="C6" s="1165">
        <v>229</v>
      </c>
      <c r="D6" s="1166">
        <v>11</v>
      </c>
      <c r="E6" s="1167" t="s">
        <v>40</v>
      </c>
      <c r="F6" s="1167" t="s">
        <v>40</v>
      </c>
      <c r="G6" s="1167" t="s">
        <v>40</v>
      </c>
      <c r="H6" s="1167" t="s">
        <v>40</v>
      </c>
      <c r="I6" s="1167" t="s">
        <v>40</v>
      </c>
      <c r="J6" s="1168" t="s">
        <v>40</v>
      </c>
      <c r="K6" s="963">
        <f>SUM(C6:J6)</f>
        <v>240</v>
      </c>
      <c r="L6" s="1169">
        <v>3172</v>
      </c>
      <c r="M6" s="1170">
        <v>243</v>
      </c>
      <c r="O6" s="1171"/>
    </row>
    <row r="7" spans="1:15" s="948" customFormat="1" ht="14.25" customHeight="1">
      <c r="A7" s="957" t="s">
        <v>235</v>
      </c>
      <c r="B7" s="1172">
        <f aca="true" t="shared" si="0" ref="B7:B33">SUM(C7:M7)-K7</f>
        <v>4576</v>
      </c>
      <c r="C7" s="1173">
        <v>1199</v>
      </c>
      <c r="D7" s="1174">
        <v>812</v>
      </c>
      <c r="E7" s="1175" t="s">
        <v>40</v>
      </c>
      <c r="F7" s="1175" t="s">
        <v>40</v>
      </c>
      <c r="G7" s="1176">
        <v>235</v>
      </c>
      <c r="H7" s="1174">
        <v>370</v>
      </c>
      <c r="I7" s="1175" t="s">
        <v>40</v>
      </c>
      <c r="J7" s="1177" t="s">
        <v>40</v>
      </c>
      <c r="K7" s="968">
        <f aca="true" t="shared" si="1" ref="K7:K33">SUM(C7:J7)</f>
        <v>2616</v>
      </c>
      <c r="L7" s="1178">
        <v>1370</v>
      </c>
      <c r="M7" s="1179">
        <v>590</v>
      </c>
      <c r="O7" s="1171"/>
    </row>
    <row r="8" spans="1:15" s="948" customFormat="1" ht="14.25" customHeight="1">
      <c r="A8" s="957" t="s">
        <v>236</v>
      </c>
      <c r="B8" s="1172">
        <f t="shared" si="0"/>
        <v>293</v>
      </c>
      <c r="C8" s="1173">
        <v>293</v>
      </c>
      <c r="D8" s="1175" t="s">
        <v>40</v>
      </c>
      <c r="E8" s="1175" t="s">
        <v>40</v>
      </c>
      <c r="F8" s="1175" t="s">
        <v>40</v>
      </c>
      <c r="G8" s="1175" t="s">
        <v>40</v>
      </c>
      <c r="H8" s="1175" t="s">
        <v>40</v>
      </c>
      <c r="I8" s="1175" t="s">
        <v>40</v>
      </c>
      <c r="J8" s="1177" t="s">
        <v>40</v>
      </c>
      <c r="K8" s="968">
        <f t="shared" si="1"/>
        <v>293</v>
      </c>
      <c r="L8" s="1180" t="s">
        <v>40</v>
      </c>
      <c r="M8" s="1179" t="s">
        <v>40</v>
      </c>
      <c r="O8" s="1171"/>
    </row>
    <row r="9" spans="1:15" s="948" customFormat="1" ht="14.25" customHeight="1">
      <c r="A9" s="957" t="s">
        <v>237</v>
      </c>
      <c r="B9" s="1172">
        <f t="shared" si="0"/>
        <v>148</v>
      </c>
      <c r="C9" s="1181" t="s">
        <v>40</v>
      </c>
      <c r="D9" s="1175" t="s">
        <v>40</v>
      </c>
      <c r="E9" s="1175" t="s">
        <v>40</v>
      </c>
      <c r="F9" s="1175" t="s">
        <v>40</v>
      </c>
      <c r="G9" s="1175" t="s">
        <v>40</v>
      </c>
      <c r="H9" s="1175" t="s">
        <v>40</v>
      </c>
      <c r="I9" s="1175" t="s">
        <v>40</v>
      </c>
      <c r="J9" s="1177" t="s">
        <v>40</v>
      </c>
      <c r="K9" s="1182">
        <v>0</v>
      </c>
      <c r="L9" s="1180" t="s">
        <v>40</v>
      </c>
      <c r="M9" s="1179">
        <v>148</v>
      </c>
      <c r="O9" s="1171"/>
    </row>
    <row r="10" spans="1:15" s="948" customFormat="1" ht="14.25" customHeight="1">
      <c r="A10" s="957" t="s">
        <v>238</v>
      </c>
      <c r="B10" s="1172">
        <f t="shared" si="0"/>
        <v>619</v>
      </c>
      <c r="C10" s="1181" t="s">
        <v>40</v>
      </c>
      <c r="D10" s="1175" t="s">
        <v>40</v>
      </c>
      <c r="E10" s="1175" t="s">
        <v>40</v>
      </c>
      <c r="F10" s="1176">
        <v>181</v>
      </c>
      <c r="G10" s="1175" t="s">
        <v>40</v>
      </c>
      <c r="H10" s="1175" t="s">
        <v>40</v>
      </c>
      <c r="I10" s="1175" t="s">
        <v>40</v>
      </c>
      <c r="J10" s="1177" t="s">
        <v>40</v>
      </c>
      <c r="K10" s="968">
        <f t="shared" si="1"/>
        <v>181</v>
      </c>
      <c r="L10" s="1178">
        <v>264</v>
      </c>
      <c r="M10" s="1179">
        <v>174</v>
      </c>
      <c r="O10" s="1171"/>
    </row>
    <row r="11" spans="1:15" s="948" customFormat="1" ht="14.25" customHeight="1">
      <c r="A11" s="957" t="s">
        <v>239</v>
      </c>
      <c r="B11" s="1172">
        <f t="shared" si="0"/>
        <v>663</v>
      </c>
      <c r="C11" s="1173">
        <v>375</v>
      </c>
      <c r="D11" s="1174">
        <v>168</v>
      </c>
      <c r="E11" s="1175" t="s">
        <v>40</v>
      </c>
      <c r="F11" s="1175" t="s">
        <v>40</v>
      </c>
      <c r="G11" s="1175" t="s">
        <v>40</v>
      </c>
      <c r="H11" s="1175" t="s">
        <v>40</v>
      </c>
      <c r="I11" s="1175" t="s">
        <v>40</v>
      </c>
      <c r="J11" s="1177" t="s">
        <v>40</v>
      </c>
      <c r="K11" s="968">
        <f t="shared" si="1"/>
        <v>543</v>
      </c>
      <c r="L11" s="1178">
        <v>50</v>
      </c>
      <c r="M11" s="1179">
        <v>70</v>
      </c>
      <c r="O11" s="1171"/>
    </row>
    <row r="12" spans="1:15" s="948" customFormat="1" ht="14.25" customHeight="1">
      <c r="A12" s="957" t="s">
        <v>240</v>
      </c>
      <c r="B12" s="1172">
        <f t="shared" si="0"/>
        <v>1901</v>
      </c>
      <c r="C12" s="1173">
        <v>166</v>
      </c>
      <c r="D12" s="1175" t="s">
        <v>40</v>
      </c>
      <c r="E12" s="1175" t="s">
        <v>40</v>
      </c>
      <c r="F12" s="1175" t="s">
        <v>40</v>
      </c>
      <c r="G12" s="1176">
        <v>60</v>
      </c>
      <c r="H12" s="1176">
        <v>15</v>
      </c>
      <c r="I12" s="1175" t="s">
        <v>40</v>
      </c>
      <c r="J12" s="1177" t="s">
        <v>40</v>
      </c>
      <c r="K12" s="968">
        <f t="shared" si="1"/>
        <v>241</v>
      </c>
      <c r="L12" s="1178">
        <v>765</v>
      </c>
      <c r="M12" s="1179">
        <v>895</v>
      </c>
      <c r="O12" s="1171"/>
    </row>
    <row r="13" spans="1:15" s="948" customFormat="1" ht="14.25" customHeight="1">
      <c r="A13" s="957" t="s">
        <v>241</v>
      </c>
      <c r="B13" s="1172">
        <f t="shared" si="0"/>
        <v>498</v>
      </c>
      <c r="C13" s="1173">
        <v>83</v>
      </c>
      <c r="D13" s="1174">
        <v>37</v>
      </c>
      <c r="E13" s="1175" t="s">
        <v>40</v>
      </c>
      <c r="F13" s="1175" t="s">
        <v>40</v>
      </c>
      <c r="G13" s="1176">
        <v>9</v>
      </c>
      <c r="H13" s="1175" t="s">
        <v>40</v>
      </c>
      <c r="I13" s="1175" t="s">
        <v>40</v>
      </c>
      <c r="J13" s="1177" t="s">
        <v>40</v>
      </c>
      <c r="K13" s="968">
        <f t="shared" si="1"/>
        <v>129</v>
      </c>
      <c r="L13" s="1178">
        <v>223</v>
      </c>
      <c r="M13" s="1179">
        <v>146</v>
      </c>
      <c r="O13" s="1171"/>
    </row>
    <row r="14" spans="1:15" s="948" customFormat="1" ht="14.25" customHeight="1">
      <c r="A14" s="957" t="s">
        <v>242</v>
      </c>
      <c r="B14" s="1172">
        <f t="shared" si="0"/>
        <v>252</v>
      </c>
      <c r="C14" s="1181" t="s">
        <v>40</v>
      </c>
      <c r="D14" s="1175" t="s">
        <v>40</v>
      </c>
      <c r="E14" s="1175" t="s">
        <v>40</v>
      </c>
      <c r="F14" s="1175" t="s">
        <v>40</v>
      </c>
      <c r="G14" s="1175" t="s">
        <v>40</v>
      </c>
      <c r="H14" s="1175" t="s">
        <v>40</v>
      </c>
      <c r="I14" s="1175" t="s">
        <v>40</v>
      </c>
      <c r="J14" s="1177" t="s">
        <v>40</v>
      </c>
      <c r="K14" s="1182">
        <f t="shared" si="1"/>
        <v>0</v>
      </c>
      <c r="L14" s="1178">
        <v>206</v>
      </c>
      <c r="M14" s="1179">
        <v>46</v>
      </c>
      <c r="O14" s="1171"/>
    </row>
    <row r="15" spans="1:15" s="948" customFormat="1" ht="14.25" customHeight="1">
      <c r="A15" s="957" t="s">
        <v>243</v>
      </c>
      <c r="B15" s="1172">
        <f t="shared" si="0"/>
        <v>688</v>
      </c>
      <c r="C15" s="1183">
        <v>400</v>
      </c>
      <c r="D15" s="1175" t="s">
        <v>40</v>
      </c>
      <c r="E15" s="1175" t="s">
        <v>40</v>
      </c>
      <c r="F15" s="1175" t="s">
        <v>40</v>
      </c>
      <c r="G15" s="1175" t="s">
        <v>40</v>
      </c>
      <c r="H15" s="1175" t="s">
        <v>40</v>
      </c>
      <c r="I15" s="1175" t="s">
        <v>40</v>
      </c>
      <c r="J15" s="1177" t="s">
        <v>40</v>
      </c>
      <c r="K15" s="968">
        <f t="shared" si="1"/>
        <v>400</v>
      </c>
      <c r="L15" s="1178">
        <v>119</v>
      </c>
      <c r="M15" s="1179">
        <v>169</v>
      </c>
      <c r="O15" s="1171"/>
    </row>
    <row r="16" spans="1:15" s="948" customFormat="1" ht="14.25" customHeight="1">
      <c r="A16" s="957" t="s">
        <v>244</v>
      </c>
      <c r="B16" s="1172">
        <f t="shared" si="0"/>
        <v>4126</v>
      </c>
      <c r="C16" s="1183">
        <v>10</v>
      </c>
      <c r="D16" s="1184">
        <v>29</v>
      </c>
      <c r="E16" s="1185">
        <v>3981</v>
      </c>
      <c r="F16" s="1175" t="s">
        <v>40</v>
      </c>
      <c r="G16" s="1176">
        <v>19</v>
      </c>
      <c r="H16" s="1175" t="s">
        <v>40</v>
      </c>
      <c r="I16" s="1175" t="s">
        <v>40</v>
      </c>
      <c r="J16" s="1177" t="s">
        <v>40</v>
      </c>
      <c r="K16" s="968">
        <f t="shared" si="1"/>
        <v>4039</v>
      </c>
      <c r="L16" s="1178">
        <v>35</v>
      </c>
      <c r="M16" s="1179">
        <v>52</v>
      </c>
      <c r="O16" s="1171"/>
    </row>
    <row r="17" spans="1:15" s="948" customFormat="1" ht="14.25" customHeight="1">
      <c r="A17" s="957" t="s">
        <v>245</v>
      </c>
      <c r="B17" s="1172">
        <f t="shared" si="0"/>
        <v>1776</v>
      </c>
      <c r="C17" s="1183">
        <v>836</v>
      </c>
      <c r="D17" s="1175" t="s">
        <v>40</v>
      </c>
      <c r="E17" s="1175" t="s">
        <v>40</v>
      </c>
      <c r="F17" s="1175" t="s">
        <v>40</v>
      </c>
      <c r="G17" s="1175" t="s">
        <v>40</v>
      </c>
      <c r="H17" s="1174">
        <v>236</v>
      </c>
      <c r="I17" s="1176">
        <v>49</v>
      </c>
      <c r="J17" s="1177" t="s">
        <v>40</v>
      </c>
      <c r="K17" s="968">
        <f t="shared" si="1"/>
        <v>1121</v>
      </c>
      <c r="L17" s="1178">
        <v>2</v>
      </c>
      <c r="M17" s="1179">
        <v>653</v>
      </c>
      <c r="O17" s="1171"/>
    </row>
    <row r="18" spans="1:15" s="948" customFormat="1" ht="14.25" customHeight="1">
      <c r="A18" s="957" t="s">
        <v>367</v>
      </c>
      <c r="B18" s="1172">
        <f t="shared" si="0"/>
        <v>370</v>
      </c>
      <c r="C18" s="1183">
        <v>241</v>
      </c>
      <c r="D18" s="1175" t="s">
        <v>40</v>
      </c>
      <c r="E18" s="1175" t="s">
        <v>40</v>
      </c>
      <c r="F18" s="1175" t="s">
        <v>40</v>
      </c>
      <c r="G18" s="1175" t="s">
        <v>40</v>
      </c>
      <c r="H18" s="1175" t="s">
        <v>40</v>
      </c>
      <c r="I18" s="1175" t="s">
        <v>40</v>
      </c>
      <c r="J18" s="1177" t="s">
        <v>40</v>
      </c>
      <c r="K18" s="968">
        <f t="shared" si="1"/>
        <v>241</v>
      </c>
      <c r="L18" s="1178">
        <v>2</v>
      </c>
      <c r="M18" s="1179">
        <v>127</v>
      </c>
      <c r="O18" s="1171"/>
    </row>
    <row r="19" spans="1:15" s="948" customFormat="1" ht="14.25" customHeight="1">
      <c r="A19" s="957" t="s">
        <v>246</v>
      </c>
      <c r="B19" s="1172">
        <f t="shared" si="0"/>
        <v>796</v>
      </c>
      <c r="C19" s="1183">
        <v>219</v>
      </c>
      <c r="D19" s="1175" t="s">
        <v>40</v>
      </c>
      <c r="E19" s="1175" t="s">
        <v>40</v>
      </c>
      <c r="F19" s="1174">
        <v>186</v>
      </c>
      <c r="G19" s="1175" t="s">
        <v>40</v>
      </c>
      <c r="H19" s="1175" t="s">
        <v>40</v>
      </c>
      <c r="I19" s="1175" t="s">
        <v>40</v>
      </c>
      <c r="J19" s="1177" t="s">
        <v>40</v>
      </c>
      <c r="K19" s="968">
        <f t="shared" si="1"/>
        <v>405</v>
      </c>
      <c r="L19" s="1178">
        <v>164</v>
      </c>
      <c r="M19" s="1179">
        <v>227</v>
      </c>
      <c r="O19" s="1171"/>
    </row>
    <row r="20" spans="1:15" s="948" customFormat="1" ht="14.25" customHeight="1">
      <c r="A20" s="957" t="s">
        <v>247</v>
      </c>
      <c r="B20" s="1172">
        <f t="shared" si="0"/>
        <v>3971</v>
      </c>
      <c r="C20" s="1183">
        <v>1100</v>
      </c>
      <c r="D20" s="1174">
        <v>336</v>
      </c>
      <c r="E20" s="1175" t="s">
        <v>40</v>
      </c>
      <c r="F20" s="1175" t="s">
        <v>40</v>
      </c>
      <c r="G20" s="1174">
        <v>11</v>
      </c>
      <c r="H20" s="1174">
        <v>290</v>
      </c>
      <c r="I20" s="1174">
        <v>91</v>
      </c>
      <c r="J20" s="1177" t="s">
        <v>40</v>
      </c>
      <c r="K20" s="968">
        <f t="shared" si="1"/>
        <v>1828</v>
      </c>
      <c r="L20" s="1178">
        <v>1255</v>
      </c>
      <c r="M20" s="1179">
        <v>888</v>
      </c>
      <c r="O20" s="1171"/>
    </row>
    <row r="21" spans="1:15" s="948" customFormat="1" ht="14.25" customHeight="1">
      <c r="A21" s="976" t="s">
        <v>248</v>
      </c>
      <c r="B21" s="1172">
        <f t="shared" si="0"/>
        <v>1335</v>
      </c>
      <c r="C21" s="1183">
        <v>317</v>
      </c>
      <c r="D21" s="1175" t="s">
        <v>40</v>
      </c>
      <c r="E21" s="1175" t="s">
        <v>40</v>
      </c>
      <c r="F21" s="1174">
        <v>283</v>
      </c>
      <c r="G21" s="1174">
        <v>78</v>
      </c>
      <c r="H21" s="1175" t="s">
        <v>40</v>
      </c>
      <c r="I21" s="1175" t="s">
        <v>40</v>
      </c>
      <c r="J21" s="1177" t="s">
        <v>40</v>
      </c>
      <c r="K21" s="968">
        <f t="shared" si="1"/>
        <v>678</v>
      </c>
      <c r="L21" s="1178">
        <v>148</v>
      </c>
      <c r="M21" s="1179">
        <v>509</v>
      </c>
      <c r="O21" s="1171"/>
    </row>
    <row r="22" spans="1:15" s="948" customFormat="1" ht="14.25" customHeight="1">
      <c r="A22" s="957" t="s">
        <v>249</v>
      </c>
      <c r="B22" s="1172">
        <f t="shared" si="0"/>
        <v>1016</v>
      </c>
      <c r="C22" s="1183">
        <v>240</v>
      </c>
      <c r="D22" s="1175" t="s">
        <v>40</v>
      </c>
      <c r="E22" s="1175" t="s">
        <v>40</v>
      </c>
      <c r="F22" s="1175" t="s">
        <v>40</v>
      </c>
      <c r="G22" s="1175" t="s">
        <v>40</v>
      </c>
      <c r="H22" s="1175" t="s">
        <v>40</v>
      </c>
      <c r="I22" s="1175" t="s">
        <v>40</v>
      </c>
      <c r="J22" s="1177" t="s">
        <v>40</v>
      </c>
      <c r="K22" s="968">
        <f t="shared" si="1"/>
        <v>240</v>
      </c>
      <c r="L22" s="1178">
        <v>370</v>
      </c>
      <c r="M22" s="1179">
        <v>406</v>
      </c>
      <c r="O22" s="1171"/>
    </row>
    <row r="23" spans="1:15" s="948" customFormat="1" ht="14.25" customHeight="1">
      <c r="A23" s="957" t="s">
        <v>250</v>
      </c>
      <c r="B23" s="1172">
        <f t="shared" si="0"/>
        <v>387</v>
      </c>
      <c r="C23" s="1183">
        <v>164</v>
      </c>
      <c r="D23" s="1174">
        <v>7</v>
      </c>
      <c r="E23" s="1175" t="s">
        <v>40</v>
      </c>
      <c r="F23" s="1175" t="s">
        <v>40</v>
      </c>
      <c r="G23" s="1175" t="s">
        <v>40</v>
      </c>
      <c r="H23" s="1175" t="s">
        <v>40</v>
      </c>
      <c r="I23" s="1175" t="s">
        <v>40</v>
      </c>
      <c r="J23" s="1177" t="s">
        <v>40</v>
      </c>
      <c r="K23" s="968">
        <f t="shared" si="1"/>
        <v>171</v>
      </c>
      <c r="L23" s="1178">
        <v>71</v>
      </c>
      <c r="M23" s="1179">
        <v>145</v>
      </c>
      <c r="O23" s="1171"/>
    </row>
    <row r="24" spans="1:15" s="948" customFormat="1" ht="14.25" customHeight="1">
      <c r="A24" s="957" t="s">
        <v>368</v>
      </c>
      <c r="B24" s="1172">
        <f t="shared" si="0"/>
        <v>1773</v>
      </c>
      <c r="C24" s="1183">
        <v>61</v>
      </c>
      <c r="D24" s="1175" t="s">
        <v>40</v>
      </c>
      <c r="E24" s="1175" t="s">
        <v>40</v>
      </c>
      <c r="F24" s="1175" t="s">
        <v>40</v>
      </c>
      <c r="G24" s="1175" t="s">
        <v>40</v>
      </c>
      <c r="H24" s="1175" t="s">
        <v>40</v>
      </c>
      <c r="I24" s="1175" t="s">
        <v>40</v>
      </c>
      <c r="J24" s="1186">
        <v>104</v>
      </c>
      <c r="K24" s="968">
        <f t="shared" si="1"/>
        <v>165</v>
      </c>
      <c r="L24" s="1178">
        <v>735</v>
      </c>
      <c r="M24" s="1179">
        <v>873</v>
      </c>
      <c r="O24" s="1171"/>
    </row>
    <row r="25" spans="1:15" s="948" customFormat="1" ht="14.25" customHeight="1">
      <c r="A25" s="957" t="s">
        <v>251</v>
      </c>
      <c r="B25" s="1172">
        <f t="shared" si="0"/>
        <v>183</v>
      </c>
      <c r="C25" s="1183">
        <v>20</v>
      </c>
      <c r="D25" s="1175" t="s">
        <v>40</v>
      </c>
      <c r="E25" s="1175" t="s">
        <v>40</v>
      </c>
      <c r="F25" s="1175" t="s">
        <v>40</v>
      </c>
      <c r="G25" s="1175" t="s">
        <v>40</v>
      </c>
      <c r="H25" s="1175" t="s">
        <v>40</v>
      </c>
      <c r="I25" s="1175" t="s">
        <v>40</v>
      </c>
      <c r="J25" s="1177" t="s">
        <v>40</v>
      </c>
      <c r="K25" s="968">
        <f t="shared" si="1"/>
        <v>20</v>
      </c>
      <c r="L25" s="1180" t="s">
        <v>369</v>
      </c>
      <c r="M25" s="1179">
        <v>163</v>
      </c>
      <c r="O25" s="1171"/>
    </row>
    <row r="26" spans="1:15" s="948" customFormat="1" ht="14.25" customHeight="1">
      <c r="A26" s="957" t="s">
        <v>252</v>
      </c>
      <c r="B26" s="1172">
        <f t="shared" si="0"/>
        <v>153</v>
      </c>
      <c r="C26" s="1183">
        <v>153</v>
      </c>
      <c r="D26" s="1175" t="s">
        <v>40</v>
      </c>
      <c r="E26" s="1175" t="s">
        <v>40</v>
      </c>
      <c r="F26" s="1175" t="s">
        <v>40</v>
      </c>
      <c r="G26" s="1175" t="s">
        <v>40</v>
      </c>
      <c r="H26" s="1175" t="s">
        <v>40</v>
      </c>
      <c r="I26" s="1175" t="s">
        <v>40</v>
      </c>
      <c r="J26" s="1177" t="s">
        <v>40</v>
      </c>
      <c r="K26" s="968">
        <f t="shared" si="1"/>
        <v>153</v>
      </c>
      <c r="L26" s="1180" t="s">
        <v>369</v>
      </c>
      <c r="M26" s="1187" t="s">
        <v>40</v>
      </c>
      <c r="O26" s="1171"/>
    </row>
    <row r="27" spans="1:15" s="948" customFormat="1" ht="14.25" customHeight="1">
      <c r="A27" s="957" t="s">
        <v>254</v>
      </c>
      <c r="B27" s="1172">
        <f t="shared" si="0"/>
        <v>196</v>
      </c>
      <c r="C27" s="1183">
        <v>196</v>
      </c>
      <c r="D27" s="1175" t="s">
        <v>40</v>
      </c>
      <c r="E27" s="1175" t="s">
        <v>40</v>
      </c>
      <c r="F27" s="1175" t="s">
        <v>40</v>
      </c>
      <c r="G27" s="1175" t="s">
        <v>40</v>
      </c>
      <c r="H27" s="1175" t="s">
        <v>40</v>
      </c>
      <c r="I27" s="1175" t="s">
        <v>40</v>
      </c>
      <c r="J27" s="1177" t="s">
        <v>40</v>
      </c>
      <c r="K27" s="968">
        <f t="shared" si="1"/>
        <v>196</v>
      </c>
      <c r="L27" s="1180" t="s">
        <v>369</v>
      </c>
      <c r="M27" s="1187" t="s">
        <v>40</v>
      </c>
      <c r="O27" s="1171"/>
    </row>
    <row r="28" spans="1:15" s="948" customFormat="1" ht="14.25" customHeight="1">
      <c r="A28" s="957" t="s">
        <v>255</v>
      </c>
      <c r="B28" s="1172">
        <f t="shared" si="0"/>
        <v>1368</v>
      </c>
      <c r="C28" s="1183">
        <v>419</v>
      </c>
      <c r="D28" s="1175" t="s">
        <v>40</v>
      </c>
      <c r="E28" s="1175" t="s">
        <v>40</v>
      </c>
      <c r="F28" s="1175" t="s">
        <v>40</v>
      </c>
      <c r="G28" s="1175" t="s">
        <v>40</v>
      </c>
      <c r="H28" s="1175" t="s">
        <v>40</v>
      </c>
      <c r="I28" s="1175" t="s">
        <v>40</v>
      </c>
      <c r="J28" s="1177" t="s">
        <v>40</v>
      </c>
      <c r="K28" s="968">
        <f t="shared" si="1"/>
        <v>419</v>
      </c>
      <c r="L28" s="1178">
        <v>7</v>
      </c>
      <c r="M28" s="1179">
        <v>942</v>
      </c>
      <c r="O28" s="1171"/>
    </row>
    <row r="29" spans="1:15" s="948" customFormat="1" ht="14.25" customHeight="1">
      <c r="A29" s="957" t="s">
        <v>256</v>
      </c>
      <c r="B29" s="1172">
        <f t="shared" si="0"/>
        <v>462</v>
      </c>
      <c r="C29" s="1183">
        <v>358</v>
      </c>
      <c r="D29" s="1175" t="s">
        <v>40</v>
      </c>
      <c r="E29" s="1175" t="s">
        <v>40</v>
      </c>
      <c r="F29" s="1175" t="s">
        <v>40</v>
      </c>
      <c r="G29" s="1175" t="s">
        <v>40</v>
      </c>
      <c r="H29" s="1175" t="s">
        <v>40</v>
      </c>
      <c r="I29" s="1175" t="s">
        <v>40</v>
      </c>
      <c r="J29" s="1177" t="s">
        <v>40</v>
      </c>
      <c r="K29" s="968">
        <f t="shared" si="1"/>
        <v>358</v>
      </c>
      <c r="L29" s="1178">
        <v>104</v>
      </c>
      <c r="M29" s="1179" t="s">
        <v>40</v>
      </c>
      <c r="O29" s="1171"/>
    </row>
    <row r="30" spans="1:15" s="948" customFormat="1" ht="14.25" customHeight="1">
      <c r="A30" s="957" t="s">
        <v>257</v>
      </c>
      <c r="B30" s="1172">
        <f t="shared" si="0"/>
        <v>426</v>
      </c>
      <c r="C30" s="1183">
        <v>131</v>
      </c>
      <c r="D30" s="1175" t="s">
        <v>40</v>
      </c>
      <c r="E30" s="1175" t="s">
        <v>40</v>
      </c>
      <c r="F30" s="1175" t="s">
        <v>40</v>
      </c>
      <c r="G30" s="1175" t="s">
        <v>40</v>
      </c>
      <c r="H30" s="1175" t="s">
        <v>40</v>
      </c>
      <c r="I30" s="1185">
        <v>113</v>
      </c>
      <c r="J30" s="1177" t="s">
        <v>40</v>
      </c>
      <c r="K30" s="968">
        <f t="shared" si="1"/>
        <v>244</v>
      </c>
      <c r="L30" s="1178">
        <v>64</v>
      </c>
      <c r="M30" s="1179">
        <v>118</v>
      </c>
      <c r="O30" s="1171"/>
    </row>
    <row r="31" spans="1:15" s="948" customFormat="1" ht="14.25" customHeight="1">
      <c r="A31" s="957" t="s">
        <v>258</v>
      </c>
      <c r="B31" s="1172">
        <f t="shared" si="0"/>
        <v>1308</v>
      </c>
      <c r="C31" s="1173">
        <v>137</v>
      </c>
      <c r="D31" s="1174">
        <v>220</v>
      </c>
      <c r="E31" s="1175" t="s">
        <v>40</v>
      </c>
      <c r="F31" s="1175" t="s">
        <v>40</v>
      </c>
      <c r="G31" s="1174">
        <v>3</v>
      </c>
      <c r="H31" s="1175" t="s">
        <v>40</v>
      </c>
      <c r="I31" s="1174">
        <v>160</v>
      </c>
      <c r="J31" s="1177" t="s">
        <v>40</v>
      </c>
      <c r="K31" s="968">
        <f t="shared" si="1"/>
        <v>520</v>
      </c>
      <c r="L31" s="1178">
        <v>119</v>
      </c>
      <c r="M31" s="1179">
        <v>669</v>
      </c>
      <c r="O31" s="1171"/>
    </row>
    <row r="32" spans="1:15" s="948" customFormat="1" ht="14.25" customHeight="1">
      <c r="A32" s="957" t="s">
        <v>259</v>
      </c>
      <c r="B32" s="1172">
        <f t="shared" si="0"/>
        <v>291</v>
      </c>
      <c r="C32" s="1183">
        <v>23</v>
      </c>
      <c r="D32" s="1175" t="s">
        <v>40</v>
      </c>
      <c r="E32" s="1175" t="s">
        <v>40</v>
      </c>
      <c r="F32" s="1175" t="s">
        <v>40</v>
      </c>
      <c r="G32" s="1175" t="s">
        <v>40</v>
      </c>
      <c r="H32" s="1175" t="s">
        <v>40</v>
      </c>
      <c r="I32" s="1175" t="s">
        <v>40</v>
      </c>
      <c r="J32" s="1177" t="s">
        <v>40</v>
      </c>
      <c r="K32" s="968">
        <f t="shared" si="1"/>
        <v>23</v>
      </c>
      <c r="L32" s="1178">
        <v>48</v>
      </c>
      <c r="M32" s="1179">
        <v>220</v>
      </c>
      <c r="O32" s="1171"/>
    </row>
    <row r="33" spans="1:15" s="948" customFormat="1" ht="20.25" customHeight="1">
      <c r="A33" s="979" t="s">
        <v>5</v>
      </c>
      <c r="B33" s="1188">
        <f t="shared" si="0"/>
        <v>33230</v>
      </c>
      <c r="C33" s="1189">
        <f aca="true" t="shared" si="2" ref="C33:I33">SUM(C6:C32)</f>
        <v>7370</v>
      </c>
      <c r="D33" s="981">
        <f t="shared" si="2"/>
        <v>1620</v>
      </c>
      <c r="E33" s="981">
        <f t="shared" si="2"/>
        <v>3981</v>
      </c>
      <c r="F33" s="981">
        <f t="shared" si="2"/>
        <v>650</v>
      </c>
      <c r="G33" s="981">
        <f t="shared" si="2"/>
        <v>415</v>
      </c>
      <c r="H33" s="1195">
        <f t="shared" si="2"/>
        <v>911</v>
      </c>
      <c r="I33" s="1195">
        <f t="shared" si="2"/>
        <v>413</v>
      </c>
      <c r="J33" s="1196">
        <f>SUM(J7:J32)</f>
        <v>104</v>
      </c>
      <c r="K33" s="984">
        <f t="shared" si="1"/>
        <v>15464</v>
      </c>
      <c r="L33" s="1190">
        <f>SUM(L6:L32)</f>
        <v>9293</v>
      </c>
      <c r="M33" s="1191">
        <f>SUM(M6:M32)</f>
        <v>8473</v>
      </c>
      <c r="O33" s="1171"/>
    </row>
    <row r="34" spans="1:13" s="948" customFormat="1" ht="12" customHeight="1">
      <c r="A34" s="985"/>
      <c r="B34" s="985"/>
      <c r="C34" s="967"/>
      <c r="D34" s="967"/>
      <c r="E34" s="967"/>
      <c r="F34" s="967"/>
      <c r="G34" s="967"/>
      <c r="H34" s="967"/>
      <c r="I34" s="967"/>
      <c r="J34" s="967"/>
      <c r="K34" s="967"/>
      <c r="L34" s="967"/>
      <c r="M34" s="967"/>
    </row>
    <row r="35" spans="1:13" s="948" customFormat="1" ht="18" customHeight="1">
      <c r="A35" s="986" t="s">
        <v>261</v>
      </c>
      <c r="B35" s="986"/>
      <c r="C35" s="967"/>
      <c r="D35" s="967"/>
      <c r="E35" s="967"/>
      <c r="F35" s="967"/>
      <c r="G35" s="988"/>
      <c r="H35" s="989"/>
      <c r="I35" s="967"/>
      <c r="J35" s="967"/>
      <c r="K35" s="967"/>
      <c r="L35" s="967"/>
      <c r="M35" s="967"/>
    </row>
    <row r="36" spans="1:15" ht="18" customHeight="1">
      <c r="A36" s="987" t="s">
        <v>370</v>
      </c>
      <c r="B36" s="987"/>
      <c r="O36" s="990"/>
    </row>
    <row r="37" ht="15">
      <c r="M37" s="990"/>
    </row>
  </sheetData>
  <mergeCells count="6">
    <mergeCell ref="M3:M5"/>
    <mergeCell ref="K4:K5"/>
    <mergeCell ref="A3:A5"/>
    <mergeCell ref="B3:B5"/>
    <mergeCell ref="C3:J3"/>
    <mergeCell ref="L3:L5"/>
  </mergeCells>
  <printOptions/>
  <pageMargins left="0.25" right="0.25" top="1" bottom="0.25" header="0.5" footer="0.5"/>
  <pageSetup horizontalDpi="300" verticalDpi="3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O16" sqref="O16"/>
    </sheetView>
  </sheetViews>
  <sheetFormatPr defaultColWidth="9.140625" defaultRowHeight="12.75"/>
  <cols>
    <col min="1" max="1" width="26.140625" style="948" customWidth="1"/>
    <col min="2" max="2" width="9.8515625" style="948" customWidth="1"/>
    <col min="3" max="3" width="9.421875" style="947" customWidth="1"/>
    <col min="4" max="7" width="7.00390625" style="947" customWidth="1"/>
    <col min="8" max="8" width="10.421875" style="947" customWidth="1"/>
    <col min="9" max="9" width="9.7109375" style="947" customWidth="1"/>
    <col min="10" max="10" width="6.57421875" style="947" customWidth="1"/>
    <col min="11" max="11" width="8.140625" style="947" customWidth="1"/>
    <col min="12" max="12" width="14.421875" style="947" customWidth="1"/>
    <col min="13" max="13" width="9.7109375" style="947" customWidth="1"/>
    <col min="14" max="14" width="6.7109375" style="947" customWidth="1"/>
    <col min="15" max="16384" width="9.140625" style="947" customWidth="1"/>
  </cols>
  <sheetData>
    <row r="1" spans="1:2" ht="19.5" customHeight="1">
      <c r="A1" s="947" t="s">
        <v>371</v>
      </c>
      <c r="B1" s="947"/>
    </row>
    <row r="2" ht="1.5" customHeight="1"/>
    <row r="3" spans="1:13" ht="16.5" customHeight="1">
      <c r="A3" s="1494" t="s">
        <v>225</v>
      </c>
      <c r="B3" s="1501" t="s">
        <v>5</v>
      </c>
      <c r="C3" s="1503" t="s">
        <v>264</v>
      </c>
      <c r="D3" s="1504"/>
      <c r="E3" s="1504"/>
      <c r="F3" s="1504"/>
      <c r="G3" s="1504"/>
      <c r="H3" s="1504"/>
      <c r="I3" s="1504"/>
      <c r="J3" s="1505"/>
      <c r="K3" s="993" t="s">
        <v>5</v>
      </c>
      <c r="L3" s="1506" t="s">
        <v>226</v>
      </c>
      <c r="M3" s="1494" t="s">
        <v>227</v>
      </c>
    </row>
    <row r="4" spans="1:13" ht="10.5" customHeight="1">
      <c r="A4" s="1499"/>
      <c r="B4" s="1502"/>
      <c r="C4" s="949"/>
      <c r="D4" s="950"/>
      <c r="E4" s="951"/>
      <c r="F4" s="951"/>
      <c r="G4" s="951"/>
      <c r="H4" s="951"/>
      <c r="I4" s="951"/>
      <c r="J4" s="952"/>
      <c r="K4" s="1497" t="s">
        <v>263</v>
      </c>
      <c r="L4" s="1507"/>
      <c r="M4" s="1495"/>
    </row>
    <row r="5" spans="1:13" s="948" customFormat="1" ht="13.5" customHeight="1">
      <c r="A5" s="1500"/>
      <c r="B5" s="1509"/>
      <c r="C5" s="953" t="s">
        <v>260</v>
      </c>
      <c r="D5" s="954" t="s">
        <v>228</v>
      </c>
      <c r="E5" s="955" t="s">
        <v>229</v>
      </c>
      <c r="F5" s="955" t="s">
        <v>230</v>
      </c>
      <c r="G5" s="955" t="s">
        <v>231</v>
      </c>
      <c r="H5" s="955" t="s">
        <v>232</v>
      </c>
      <c r="I5" s="955" t="s">
        <v>233</v>
      </c>
      <c r="J5" s="956" t="s">
        <v>234</v>
      </c>
      <c r="K5" s="1498"/>
      <c r="L5" s="1508"/>
      <c r="M5" s="1496"/>
    </row>
    <row r="6" spans="1:13" s="948" customFormat="1" ht="12.75" customHeight="1">
      <c r="A6" s="957" t="s">
        <v>290</v>
      </c>
      <c r="B6" s="963">
        <f>SUM(C6:M6)-K6</f>
        <v>4353</v>
      </c>
      <c r="C6" s="958">
        <v>230</v>
      </c>
      <c r="D6" s="1028">
        <v>18</v>
      </c>
      <c r="E6" s="959">
        <v>0</v>
      </c>
      <c r="F6" s="960">
        <v>0</v>
      </c>
      <c r="G6" s="960">
        <v>0</v>
      </c>
      <c r="H6" s="960">
        <v>0</v>
      </c>
      <c r="I6" s="960">
        <v>0</v>
      </c>
      <c r="J6" s="961">
        <v>0</v>
      </c>
      <c r="K6" s="996">
        <f>SUM(C6:J6)</f>
        <v>248</v>
      </c>
      <c r="L6" s="962">
        <v>3568</v>
      </c>
      <c r="M6" s="963">
        <v>537</v>
      </c>
    </row>
    <row r="7" spans="1:13" s="948" customFormat="1" ht="12.75" customHeight="1">
      <c r="A7" s="957" t="s">
        <v>235</v>
      </c>
      <c r="B7" s="968">
        <f aca="true" t="shared" si="0" ref="B7:B36">SUM(C7:M7)-K7</f>
        <v>4684</v>
      </c>
      <c r="C7" s="964">
        <v>1333</v>
      </c>
      <c r="D7" s="965">
        <v>762</v>
      </c>
      <c r="E7" s="960">
        <v>0</v>
      </c>
      <c r="F7" s="960">
        <v>0</v>
      </c>
      <c r="G7" s="966">
        <v>271</v>
      </c>
      <c r="H7" s="965">
        <v>357</v>
      </c>
      <c r="I7" s="960">
        <v>0</v>
      </c>
      <c r="J7" s="961">
        <v>0</v>
      </c>
      <c r="K7" s="994">
        <f aca="true" t="shared" si="1" ref="K7:K36">SUM(C7:J7)</f>
        <v>2723</v>
      </c>
      <c r="L7" s="967">
        <v>1125</v>
      </c>
      <c r="M7" s="968">
        <v>836</v>
      </c>
    </row>
    <row r="8" spans="1:13" s="948" customFormat="1" ht="12.75" customHeight="1">
      <c r="A8" s="957" t="s">
        <v>236</v>
      </c>
      <c r="B8" s="968">
        <f t="shared" si="0"/>
        <v>351</v>
      </c>
      <c r="C8" s="964">
        <v>334</v>
      </c>
      <c r="D8" s="960">
        <v>0</v>
      </c>
      <c r="E8" s="960">
        <v>0</v>
      </c>
      <c r="F8" s="960">
        <v>0</v>
      </c>
      <c r="G8" s="960">
        <v>0</v>
      </c>
      <c r="H8" s="960">
        <v>0</v>
      </c>
      <c r="I8" s="960">
        <v>0</v>
      </c>
      <c r="J8" s="961">
        <v>0</v>
      </c>
      <c r="K8" s="994">
        <f t="shared" si="1"/>
        <v>334</v>
      </c>
      <c r="L8" s="970">
        <v>0</v>
      </c>
      <c r="M8" s="968">
        <v>17</v>
      </c>
    </row>
    <row r="9" spans="1:13" s="948" customFormat="1" ht="12.75" customHeight="1">
      <c r="A9" s="957" t="s">
        <v>237</v>
      </c>
      <c r="B9" s="968">
        <f t="shared" si="0"/>
        <v>103</v>
      </c>
      <c r="C9" s="972">
        <v>0</v>
      </c>
      <c r="D9" s="960">
        <v>0</v>
      </c>
      <c r="E9" s="960">
        <v>0</v>
      </c>
      <c r="F9" s="960">
        <v>0</v>
      </c>
      <c r="G9" s="960">
        <v>0</v>
      </c>
      <c r="H9" s="960">
        <v>0</v>
      </c>
      <c r="I9" s="960">
        <v>0</v>
      </c>
      <c r="J9" s="961">
        <v>0</v>
      </c>
      <c r="K9" s="971">
        <v>0</v>
      </c>
      <c r="L9" s="970">
        <v>0</v>
      </c>
      <c r="M9" s="968">
        <v>103</v>
      </c>
    </row>
    <row r="10" spans="1:13" s="948" customFormat="1" ht="12.75" customHeight="1">
      <c r="A10" s="957" t="s">
        <v>238</v>
      </c>
      <c r="B10" s="968">
        <f t="shared" si="0"/>
        <v>535</v>
      </c>
      <c r="C10" s="972">
        <v>0</v>
      </c>
      <c r="D10" s="960">
        <v>0</v>
      </c>
      <c r="E10" s="960">
        <v>0</v>
      </c>
      <c r="F10" s="966">
        <v>136</v>
      </c>
      <c r="G10" s="960">
        <v>0</v>
      </c>
      <c r="H10" s="960">
        <v>0</v>
      </c>
      <c r="I10" s="973">
        <v>0</v>
      </c>
      <c r="J10" s="961">
        <v>0</v>
      </c>
      <c r="K10" s="994">
        <f t="shared" si="1"/>
        <v>136</v>
      </c>
      <c r="L10" s="967">
        <v>275</v>
      </c>
      <c r="M10" s="968">
        <v>124</v>
      </c>
    </row>
    <row r="11" spans="1:13" s="948" customFormat="1" ht="12.75" customHeight="1">
      <c r="A11" s="957" t="s">
        <v>239</v>
      </c>
      <c r="B11" s="968">
        <f t="shared" si="0"/>
        <v>814</v>
      </c>
      <c r="C11" s="964">
        <v>418</v>
      </c>
      <c r="D11" s="965">
        <v>217</v>
      </c>
      <c r="E11" s="960">
        <v>0</v>
      </c>
      <c r="F11" s="960">
        <v>0</v>
      </c>
      <c r="G11" s="973">
        <v>0</v>
      </c>
      <c r="H11" s="960">
        <v>0</v>
      </c>
      <c r="I11" s="973">
        <v>0</v>
      </c>
      <c r="J11" s="961">
        <v>0</v>
      </c>
      <c r="K11" s="994">
        <f t="shared" si="1"/>
        <v>635</v>
      </c>
      <c r="L11" s="968">
        <v>62</v>
      </c>
      <c r="M11" s="968">
        <v>117</v>
      </c>
    </row>
    <row r="12" spans="1:13" s="948" customFormat="1" ht="12.75" customHeight="1">
      <c r="A12" s="957" t="s">
        <v>240</v>
      </c>
      <c r="B12" s="968">
        <f t="shared" si="0"/>
        <v>2265</v>
      </c>
      <c r="C12" s="964">
        <v>150</v>
      </c>
      <c r="D12" s="960">
        <v>0</v>
      </c>
      <c r="E12" s="960">
        <v>0</v>
      </c>
      <c r="F12" s="960">
        <v>0</v>
      </c>
      <c r="G12" s="966">
        <v>53</v>
      </c>
      <c r="H12" s="966">
        <v>14</v>
      </c>
      <c r="I12" s="973">
        <v>0</v>
      </c>
      <c r="J12" s="961">
        <v>0</v>
      </c>
      <c r="K12" s="994">
        <f t="shared" si="1"/>
        <v>217</v>
      </c>
      <c r="L12" s="967">
        <v>1032</v>
      </c>
      <c r="M12" s="968">
        <v>1016</v>
      </c>
    </row>
    <row r="13" spans="1:13" s="948" customFormat="1" ht="12.75" customHeight="1">
      <c r="A13" s="957" t="s">
        <v>241</v>
      </c>
      <c r="B13" s="968">
        <f t="shared" si="0"/>
        <v>427</v>
      </c>
      <c r="C13" s="964">
        <v>89</v>
      </c>
      <c r="D13" s="965">
        <v>45</v>
      </c>
      <c r="E13" s="960">
        <v>0</v>
      </c>
      <c r="F13" s="960">
        <v>0</v>
      </c>
      <c r="G13" s="966">
        <v>1</v>
      </c>
      <c r="H13" s="960">
        <v>0</v>
      </c>
      <c r="I13" s="973">
        <v>0</v>
      </c>
      <c r="J13" s="961">
        <v>0</v>
      </c>
      <c r="K13" s="994">
        <f t="shared" si="1"/>
        <v>135</v>
      </c>
      <c r="L13" s="967">
        <v>137</v>
      </c>
      <c r="M13" s="968">
        <v>155</v>
      </c>
    </row>
    <row r="14" spans="1:13" s="948" customFormat="1" ht="12.75" customHeight="1">
      <c r="A14" s="957" t="s">
        <v>242</v>
      </c>
      <c r="B14" s="968">
        <f t="shared" si="0"/>
        <v>301</v>
      </c>
      <c r="C14" s="972">
        <v>0</v>
      </c>
      <c r="D14" s="960">
        <v>0</v>
      </c>
      <c r="E14" s="960">
        <v>0</v>
      </c>
      <c r="F14" s="960">
        <v>0</v>
      </c>
      <c r="G14" s="960">
        <v>0</v>
      </c>
      <c r="H14" s="960">
        <v>0</v>
      </c>
      <c r="I14" s="973">
        <v>0</v>
      </c>
      <c r="J14" s="961">
        <v>0</v>
      </c>
      <c r="K14" s="971">
        <v>0</v>
      </c>
      <c r="L14" s="967">
        <v>257</v>
      </c>
      <c r="M14" s="968">
        <v>44</v>
      </c>
    </row>
    <row r="15" spans="1:13" s="948" customFormat="1" ht="12.75" customHeight="1">
      <c r="A15" s="957" t="s">
        <v>243</v>
      </c>
      <c r="B15" s="968">
        <f t="shared" si="0"/>
        <v>732</v>
      </c>
      <c r="C15" s="964">
        <v>430</v>
      </c>
      <c r="D15" s="960">
        <v>0</v>
      </c>
      <c r="E15" s="960">
        <v>0</v>
      </c>
      <c r="F15" s="960">
        <v>0</v>
      </c>
      <c r="G15" s="960">
        <v>0</v>
      </c>
      <c r="H15" s="960">
        <v>0</v>
      </c>
      <c r="I15" s="973">
        <v>0</v>
      </c>
      <c r="J15" s="961">
        <v>0</v>
      </c>
      <c r="K15" s="994">
        <f t="shared" si="1"/>
        <v>430</v>
      </c>
      <c r="L15" s="969">
        <v>99</v>
      </c>
      <c r="M15" s="968">
        <v>203</v>
      </c>
    </row>
    <row r="16" spans="1:13" s="948" customFormat="1" ht="12.75" customHeight="1">
      <c r="A16" s="957" t="s">
        <v>244</v>
      </c>
      <c r="B16" s="968">
        <f t="shared" si="0"/>
        <v>4187</v>
      </c>
      <c r="C16" s="964">
        <v>10</v>
      </c>
      <c r="D16" s="965">
        <v>83</v>
      </c>
      <c r="E16" s="974">
        <v>3959</v>
      </c>
      <c r="F16" s="960">
        <v>0</v>
      </c>
      <c r="G16" s="966">
        <v>3</v>
      </c>
      <c r="H16" s="960">
        <v>0</v>
      </c>
      <c r="I16" s="973">
        <v>0</v>
      </c>
      <c r="J16" s="961">
        <v>0</v>
      </c>
      <c r="K16" s="994">
        <f t="shared" si="1"/>
        <v>4055</v>
      </c>
      <c r="L16" s="969">
        <v>20</v>
      </c>
      <c r="M16" s="968">
        <v>112</v>
      </c>
    </row>
    <row r="17" spans="1:13" s="948" customFormat="1" ht="12.75" customHeight="1">
      <c r="A17" s="957" t="s">
        <v>245</v>
      </c>
      <c r="B17" s="968">
        <f t="shared" si="0"/>
        <v>2120</v>
      </c>
      <c r="C17" s="964">
        <v>948</v>
      </c>
      <c r="D17" s="960">
        <v>0</v>
      </c>
      <c r="E17" s="975">
        <v>0</v>
      </c>
      <c r="F17" s="960">
        <v>0</v>
      </c>
      <c r="G17" s="960">
        <v>0</v>
      </c>
      <c r="H17" s="965">
        <v>292</v>
      </c>
      <c r="I17" s="966">
        <v>55</v>
      </c>
      <c r="J17" s="961">
        <v>0</v>
      </c>
      <c r="K17" s="994">
        <f t="shared" si="1"/>
        <v>1295</v>
      </c>
      <c r="L17" s="967">
        <v>23</v>
      </c>
      <c r="M17" s="968">
        <v>802</v>
      </c>
    </row>
    <row r="18" spans="1:13" s="948" customFormat="1" ht="12.75" customHeight="1">
      <c r="A18" s="1029" t="s">
        <v>289</v>
      </c>
      <c r="B18" s="968">
        <f t="shared" si="0"/>
        <v>535</v>
      </c>
      <c r="C18" s="964">
        <v>313</v>
      </c>
      <c r="D18" s="965">
        <v>83</v>
      </c>
      <c r="E18" s="975">
        <v>0</v>
      </c>
      <c r="F18" s="960">
        <v>0</v>
      </c>
      <c r="G18" s="960">
        <v>0</v>
      </c>
      <c r="H18" s="960">
        <v>0</v>
      </c>
      <c r="I18" s="960">
        <v>0</v>
      </c>
      <c r="J18" s="961">
        <v>0</v>
      </c>
      <c r="K18" s="994">
        <f t="shared" si="1"/>
        <v>396</v>
      </c>
      <c r="L18" s="967">
        <v>1</v>
      </c>
      <c r="M18" s="968">
        <v>138</v>
      </c>
    </row>
    <row r="19" spans="1:13" s="948" customFormat="1" ht="12.75" customHeight="1">
      <c r="A19" s="957" t="s">
        <v>246</v>
      </c>
      <c r="B19" s="968">
        <f t="shared" si="0"/>
        <v>566</v>
      </c>
      <c r="C19" s="964">
        <v>233</v>
      </c>
      <c r="D19" s="960">
        <v>0</v>
      </c>
      <c r="E19" s="960">
        <v>0</v>
      </c>
      <c r="F19" s="965">
        <v>124</v>
      </c>
      <c r="G19" s="960">
        <v>0</v>
      </c>
      <c r="H19" s="960">
        <v>0</v>
      </c>
      <c r="I19" s="960">
        <v>0</v>
      </c>
      <c r="J19" s="961">
        <v>0</v>
      </c>
      <c r="K19" s="994">
        <f t="shared" si="1"/>
        <v>357</v>
      </c>
      <c r="L19" s="967">
        <v>9</v>
      </c>
      <c r="M19" s="968">
        <v>200</v>
      </c>
    </row>
    <row r="20" spans="1:13" s="948" customFormat="1" ht="12.75" customHeight="1">
      <c r="A20" s="957" t="s">
        <v>247</v>
      </c>
      <c r="B20" s="968">
        <f t="shared" si="0"/>
        <v>3700</v>
      </c>
      <c r="C20" s="964">
        <v>943</v>
      </c>
      <c r="D20" s="965">
        <v>346</v>
      </c>
      <c r="E20" s="960">
        <v>0</v>
      </c>
      <c r="F20" s="960">
        <v>0</v>
      </c>
      <c r="G20" s="965">
        <v>11</v>
      </c>
      <c r="H20" s="965">
        <v>229</v>
      </c>
      <c r="I20" s="965">
        <v>113</v>
      </c>
      <c r="J20" s="961">
        <v>0</v>
      </c>
      <c r="K20" s="994">
        <f t="shared" si="1"/>
        <v>1642</v>
      </c>
      <c r="L20" s="967">
        <v>1172</v>
      </c>
      <c r="M20" s="968">
        <v>886</v>
      </c>
    </row>
    <row r="21" spans="1:13" s="948" customFormat="1" ht="12.75" customHeight="1">
      <c r="A21" s="976" t="s">
        <v>248</v>
      </c>
      <c r="B21" s="968">
        <f t="shared" si="0"/>
        <v>1389</v>
      </c>
      <c r="C21" s="964">
        <v>322</v>
      </c>
      <c r="D21" s="960">
        <v>0</v>
      </c>
      <c r="E21" s="960">
        <v>0</v>
      </c>
      <c r="F21" s="965">
        <v>315</v>
      </c>
      <c r="G21" s="965">
        <v>139</v>
      </c>
      <c r="H21" s="960">
        <v>0</v>
      </c>
      <c r="I21" s="960">
        <v>0</v>
      </c>
      <c r="J21" s="961">
        <v>0</v>
      </c>
      <c r="K21" s="994">
        <f t="shared" si="1"/>
        <v>776</v>
      </c>
      <c r="L21" s="967">
        <v>194</v>
      </c>
      <c r="M21" s="968">
        <v>419</v>
      </c>
    </row>
    <row r="22" spans="1:13" s="948" customFormat="1" ht="12.75" customHeight="1">
      <c r="A22" s="957" t="s">
        <v>249</v>
      </c>
      <c r="B22" s="968">
        <f t="shared" si="0"/>
        <v>1067</v>
      </c>
      <c r="C22" s="964">
        <v>243</v>
      </c>
      <c r="D22" s="960">
        <v>0</v>
      </c>
      <c r="E22" s="960">
        <v>0</v>
      </c>
      <c r="F22" s="960">
        <v>0</v>
      </c>
      <c r="G22" s="960">
        <v>0</v>
      </c>
      <c r="H22" s="960">
        <v>0</v>
      </c>
      <c r="I22" s="960">
        <v>0</v>
      </c>
      <c r="J22" s="961">
        <v>0</v>
      </c>
      <c r="K22" s="994">
        <f t="shared" si="1"/>
        <v>243</v>
      </c>
      <c r="L22" s="967">
        <v>354</v>
      </c>
      <c r="M22" s="968">
        <v>470</v>
      </c>
    </row>
    <row r="23" spans="1:13" s="948" customFormat="1" ht="12.75" customHeight="1">
      <c r="A23" s="957" t="s">
        <v>250</v>
      </c>
      <c r="B23" s="968">
        <f t="shared" si="0"/>
        <v>436</v>
      </c>
      <c r="C23" s="964">
        <v>195</v>
      </c>
      <c r="D23" s="965">
        <v>17</v>
      </c>
      <c r="E23" s="960">
        <v>0</v>
      </c>
      <c r="F23" s="960">
        <v>0</v>
      </c>
      <c r="G23" s="960">
        <v>0</v>
      </c>
      <c r="H23" s="960">
        <v>0</v>
      </c>
      <c r="I23" s="960">
        <v>0</v>
      </c>
      <c r="J23" s="961">
        <v>0</v>
      </c>
      <c r="K23" s="994">
        <f t="shared" si="1"/>
        <v>212</v>
      </c>
      <c r="L23" s="967">
        <v>64</v>
      </c>
      <c r="M23" s="968">
        <v>160</v>
      </c>
    </row>
    <row r="24" spans="1:13" s="948" customFormat="1" ht="12.75" customHeight="1">
      <c r="A24" s="957" t="s">
        <v>295</v>
      </c>
      <c r="B24" s="968">
        <f t="shared" si="0"/>
        <v>1834</v>
      </c>
      <c r="C24" s="964">
        <v>59</v>
      </c>
      <c r="D24" s="960">
        <v>0</v>
      </c>
      <c r="E24" s="975">
        <v>0</v>
      </c>
      <c r="F24" s="960">
        <v>0</v>
      </c>
      <c r="G24" s="960">
        <v>0</v>
      </c>
      <c r="H24" s="960">
        <v>0</v>
      </c>
      <c r="I24" s="960">
        <v>0</v>
      </c>
      <c r="J24" s="977">
        <v>97</v>
      </c>
      <c r="K24" s="994">
        <f t="shared" si="1"/>
        <v>156</v>
      </c>
      <c r="L24" s="967">
        <v>622</v>
      </c>
      <c r="M24" s="968">
        <v>1056</v>
      </c>
    </row>
    <row r="25" spans="1:13" s="948" customFormat="1" ht="12.75" customHeight="1">
      <c r="A25" s="957" t="s">
        <v>251</v>
      </c>
      <c r="B25" s="968">
        <f t="shared" si="0"/>
        <v>165</v>
      </c>
      <c r="C25" s="964">
        <v>13</v>
      </c>
      <c r="D25" s="960">
        <v>0</v>
      </c>
      <c r="E25" s="975">
        <v>0</v>
      </c>
      <c r="F25" s="960">
        <v>0</v>
      </c>
      <c r="G25" s="960">
        <v>0</v>
      </c>
      <c r="H25" s="960">
        <v>0</v>
      </c>
      <c r="I25" s="960">
        <v>0</v>
      </c>
      <c r="J25" s="961">
        <v>0</v>
      </c>
      <c r="K25" s="994">
        <f t="shared" si="1"/>
        <v>13</v>
      </c>
      <c r="L25" s="967">
        <v>6</v>
      </c>
      <c r="M25" s="968">
        <v>146</v>
      </c>
    </row>
    <row r="26" spans="1:13" s="948" customFormat="1" ht="12.75" customHeight="1">
      <c r="A26" s="957" t="s">
        <v>252</v>
      </c>
      <c r="B26" s="968">
        <f t="shared" si="0"/>
        <v>91</v>
      </c>
      <c r="C26" s="964">
        <v>91</v>
      </c>
      <c r="D26" s="960">
        <v>0</v>
      </c>
      <c r="E26" s="975">
        <v>0</v>
      </c>
      <c r="F26" s="960">
        <v>0</v>
      </c>
      <c r="G26" s="960">
        <v>0</v>
      </c>
      <c r="H26" s="960">
        <v>0</v>
      </c>
      <c r="I26" s="960">
        <v>0</v>
      </c>
      <c r="J26" s="961">
        <v>0</v>
      </c>
      <c r="K26" s="994">
        <f t="shared" si="1"/>
        <v>91</v>
      </c>
      <c r="L26" s="970">
        <v>0</v>
      </c>
      <c r="M26" s="971">
        <v>0</v>
      </c>
    </row>
    <row r="27" spans="1:13" s="948" customFormat="1" ht="12.75" customHeight="1">
      <c r="A27" s="957" t="s">
        <v>288</v>
      </c>
      <c r="B27" s="968">
        <f>SUM(C27:M27)-K27</f>
        <v>24</v>
      </c>
      <c r="C27" s="960">
        <v>0</v>
      </c>
      <c r="D27" s="960">
        <v>0</v>
      </c>
      <c r="E27" s="975">
        <v>0</v>
      </c>
      <c r="F27" s="960">
        <v>0</v>
      </c>
      <c r="G27" s="960">
        <v>0</v>
      </c>
      <c r="H27" s="960">
        <v>0</v>
      </c>
      <c r="I27" s="960">
        <v>0</v>
      </c>
      <c r="J27" s="961">
        <v>0</v>
      </c>
      <c r="K27" s="971">
        <v>0</v>
      </c>
      <c r="L27" s="970">
        <v>0</v>
      </c>
      <c r="M27" s="968">
        <v>24</v>
      </c>
    </row>
    <row r="28" spans="1:13" s="948" customFormat="1" ht="12.75" customHeight="1">
      <c r="A28" s="957" t="s">
        <v>253</v>
      </c>
      <c r="B28" s="968">
        <f t="shared" si="0"/>
        <v>115</v>
      </c>
      <c r="C28" s="960">
        <v>0</v>
      </c>
      <c r="D28" s="960">
        <v>0</v>
      </c>
      <c r="E28" s="960">
        <v>0</v>
      </c>
      <c r="F28" s="960">
        <v>0</v>
      </c>
      <c r="G28" s="960">
        <v>0</v>
      </c>
      <c r="H28" s="960">
        <v>0</v>
      </c>
      <c r="I28" s="960">
        <v>0</v>
      </c>
      <c r="J28" s="961">
        <v>0</v>
      </c>
      <c r="K28" s="971">
        <v>0</v>
      </c>
      <c r="L28" s="967">
        <v>112</v>
      </c>
      <c r="M28" s="968">
        <v>3</v>
      </c>
    </row>
    <row r="29" spans="1:13" s="948" customFormat="1" ht="12.75" customHeight="1">
      <c r="A29" s="957" t="s">
        <v>254</v>
      </c>
      <c r="B29" s="968">
        <f t="shared" si="0"/>
        <v>204</v>
      </c>
      <c r="C29" s="964">
        <v>204</v>
      </c>
      <c r="D29" s="960">
        <v>0</v>
      </c>
      <c r="E29" s="960">
        <v>0</v>
      </c>
      <c r="F29" s="960">
        <v>0</v>
      </c>
      <c r="G29" s="960">
        <v>0</v>
      </c>
      <c r="H29" s="960">
        <v>0</v>
      </c>
      <c r="I29" s="975">
        <v>0</v>
      </c>
      <c r="J29" s="961">
        <v>0</v>
      </c>
      <c r="K29" s="994">
        <f t="shared" si="1"/>
        <v>204</v>
      </c>
      <c r="L29" s="978">
        <v>0</v>
      </c>
      <c r="M29" s="978">
        <v>0</v>
      </c>
    </row>
    <row r="30" spans="1:13" s="948" customFormat="1" ht="12.75" customHeight="1">
      <c r="A30" s="957" t="s">
        <v>291</v>
      </c>
      <c r="B30" s="968">
        <f>SUM(C30:M30)-K30</f>
        <v>12</v>
      </c>
      <c r="C30" s="964">
        <v>12</v>
      </c>
      <c r="D30" s="960">
        <v>0</v>
      </c>
      <c r="E30" s="960">
        <v>0</v>
      </c>
      <c r="F30" s="960">
        <v>0</v>
      </c>
      <c r="G30" s="960">
        <v>0</v>
      </c>
      <c r="H30" s="960">
        <v>0</v>
      </c>
      <c r="I30" s="975">
        <v>0</v>
      </c>
      <c r="J30" s="961">
        <v>0</v>
      </c>
      <c r="K30" s="994">
        <f t="shared" si="1"/>
        <v>12</v>
      </c>
      <c r="L30" s="978">
        <v>0</v>
      </c>
      <c r="M30" s="978">
        <v>0</v>
      </c>
    </row>
    <row r="31" spans="1:13" s="948" customFormat="1" ht="12.75" customHeight="1">
      <c r="A31" s="957" t="s">
        <v>255</v>
      </c>
      <c r="B31" s="968">
        <f t="shared" si="0"/>
        <v>1264</v>
      </c>
      <c r="C31" s="964">
        <v>444</v>
      </c>
      <c r="D31" s="960">
        <v>0</v>
      </c>
      <c r="E31" s="960">
        <v>0</v>
      </c>
      <c r="F31" s="960">
        <v>0</v>
      </c>
      <c r="G31" s="960">
        <v>0</v>
      </c>
      <c r="H31" s="960">
        <v>0</v>
      </c>
      <c r="I31" s="975">
        <v>0</v>
      </c>
      <c r="J31" s="961">
        <v>0</v>
      </c>
      <c r="K31" s="994">
        <f t="shared" si="1"/>
        <v>444</v>
      </c>
      <c r="L31" s="967">
        <v>14</v>
      </c>
      <c r="M31" s="968">
        <v>806</v>
      </c>
    </row>
    <row r="32" spans="1:13" s="948" customFormat="1" ht="12.75" customHeight="1">
      <c r="A32" s="957" t="s">
        <v>256</v>
      </c>
      <c r="B32" s="968">
        <f t="shared" si="0"/>
        <v>691</v>
      </c>
      <c r="C32" s="1030">
        <v>355</v>
      </c>
      <c r="D32" s="967">
        <v>16</v>
      </c>
      <c r="E32" s="960">
        <v>0</v>
      </c>
      <c r="F32" s="960">
        <v>0</v>
      </c>
      <c r="G32" s="960">
        <v>0</v>
      </c>
      <c r="H32" s="960">
        <v>0</v>
      </c>
      <c r="I32" s="975">
        <v>0</v>
      </c>
      <c r="J32" s="961">
        <v>0</v>
      </c>
      <c r="K32" s="994">
        <f t="shared" si="1"/>
        <v>371</v>
      </c>
      <c r="L32" s="967">
        <v>113</v>
      </c>
      <c r="M32" s="968">
        <v>207</v>
      </c>
    </row>
    <row r="33" spans="1:13" s="948" customFormat="1" ht="12.75" customHeight="1">
      <c r="A33" s="957" t="s">
        <v>257</v>
      </c>
      <c r="B33" s="968">
        <f t="shared" si="0"/>
        <v>363</v>
      </c>
      <c r="C33" s="964">
        <v>112</v>
      </c>
      <c r="D33" s="960">
        <v>0</v>
      </c>
      <c r="E33" s="960">
        <v>0</v>
      </c>
      <c r="F33" s="960">
        <v>0</v>
      </c>
      <c r="G33" s="960">
        <v>0</v>
      </c>
      <c r="H33" s="960">
        <v>0</v>
      </c>
      <c r="I33" s="974">
        <v>74</v>
      </c>
      <c r="J33" s="961">
        <v>0</v>
      </c>
      <c r="K33" s="994">
        <f t="shared" si="1"/>
        <v>186</v>
      </c>
      <c r="L33" s="974">
        <v>77</v>
      </c>
      <c r="M33" s="968">
        <v>100</v>
      </c>
    </row>
    <row r="34" spans="1:13" s="948" customFormat="1" ht="12.75" customHeight="1">
      <c r="A34" s="957" t="s">
        <v>258</v>
      </c>
      <c r="B34" s="968">
        <f t="shared" si="0"/>
        <v>1268</v>
      </c>
      <c r="C34" s="964">
        <v>159</v>
      </c>
      <c r="D34" s="965">
        <v>237</v>
      </c>
      <c r="E34" s="960">
        <v>0</v>
      </c>
      <c r="F34" s="960">
        <v>0</v>
      </c>
      <c r="G34" s="965"/>
      <c r="H34" s="960">
        <v>0</v>
      </c>
      <c r="I34" s="965">
        <v>136</v>
      </c>
      <c r="J34" s="961">
        <v>0</v>
      </c>
      <c r="K34" s="994">
        <f t="shared" si="1"/>
        <v>532</v>
      </c>
      <c r="L34" s="969">
        <v>143</v>
      </c>
      <c r="M34" s="968">
        <v>593</v>
      </c>
    </row>
    <row r="35" spans="1:13" s="948" customFormat="1" ht="12.75" customHeight="1">
      <c r="A35" s="957" t="s">
        <v>259</v>
      </c>
      <c r="B35" s="968">
        <f t="shared" si="0"/>
        <v>427</v>
      </c>
      <c r="C35" s="964">
        <v>22</v>
      </c>
      <c r="D35" s="965">
        <v>15</v>
      </c>
      <c r="E35" s="960">
        <v>0</v>
      </c>
      <c r="F35" s="960">
        <v>0</v>
      </c>
      <c r="G35" s="960">
        <v>0</v>
      </c>
      <c r="H35" s="960">
        <v>0</v>
      </c>
      <c r="I35" s="960">
        <v>0</v>
      </c>
      <c r="J35" s="961">
        <v>0</v>
      </c>
      <c r="K35" s="994">
        <f t="shared" si="1"/>
        <v>37</v>
      </c>
      <c r="L35" s="969">
        <v>133</v>
      </c>
      <c r="M35" s="968">
        <v>257</v>
      </c>
    </row>
    <row r="36" spans="1:13" s="948" customFormat="1" ht="16.5" customHeight="1">
      <c r="A36" s="979" t="s">
        <v>5</v>
      </c>
      <c r="B36" s="984">
        <f t="shared" si="0"/>
        <v>35023</v>
      </c>
      <c r="C36" s="980">
        <f aca="true" t="shared" si="2" ref="C36:J36">SUM(C6:C35)</f>
        <v>7662</v>
      </c>
      <c r="D36" s="981">
        <f t="shared" si="2"/>
        <v>1839</v>
      </c>
      <c r="E36" s="981">
        <f t="shared" si="2"/>
        <v>3959</v>
      </c>
      <c r="F36" s="981">
        <f t="shared" si="2"/>
        <v>575</v>
      </c>
      <c r="G36" s="981">
        <f t="shared" si="2"/>
        <v>478</v>
      </c>
      <c r="H36" s="981">
        <f t="shared" si="2"/>
        <v>892</v>
      </c>
      <c r="I36" s="981">
        <f t="shared" si="2"/>
        <v>378</v>
      </c>
      <c r="J36" s="982">
        <f t="shared" si="2"/>
        <v>97</v>
      </c>
      <c r="K36" s="995">
        <f t="shared" si="1"/>
        <v>15880</v>
      </c>
      <c r="L36" s="983">
        <f>SUM(L6:L35)</f>
        <v>9612</v>
      </c>
      <c r="M36" s="984">
        <f>SUM(M6:M35)</f>
        <v>9531</v>
      </c>
    </row>
    <row r="37" spans="1:13" s="948" customFormat="1" ht="4.5" customHeight="1">
      <c r="A37" s="985"/>
      <c r="B37" s="985"/>
      <c r="C37" s="967"/>
      <c r="D37" s="967"/>
      <c r="E37" s="967"/>
      <c r="F37" s="967"/>
      <c r="G37" s="967"/>
      <c r="H37" s="967"/>
      <c r="I37" s="967"/>
      <c r="J37" s="967"/>
      <c r="K37" s="967"/>
      <c r="L37" s="967"/>
      <c r="M37" s="967"/>
    </row>
    <row r="38" spans="1:13" s="948" customFormat="1" ht="16.5" customHeight="1">
      <c r="A38" s="986" t="s">
        <v>261</v>
      </c>
      <c r="B38" s="986"/>
      <c r="C38" s="967"/>
      <c r="D38" s="967"/>
      <c r="E38" s="967"/>
      <c r="F38" s="967"/>
      <c r="G38" s="967"/>
      <c r="H38" s="967"/>
      <c r="I38" s="967"/>
      <c r="J38" s="967"/>
      <c r="K38" s="967"/>
      <c r="L38" s="967"/>
      <c r="M38" s="967"/>
    </row>
    <row r="39" spans="1:8" ht="15" customHeight="1">
      <c r="A39" s="987" t="s">
        <v>296</v>
      </c>
      <c r="B39" s="987"/>
      <c r="G39" s="988"/>
      <c r="H39" s="989"/>
    </row>
    <row r="40" ht="15">
      <c r="M40" s="990"/>
    </row>
  </sheetData>
  <mergeCells count="6">
    <mergeCell ref="A3:A5"/>
    <mergeCell ref="L3:L5"/>
    <mergeCell ref="M3:M5"/>
    <mergeCell ref="C3:J3"/>
    <mergeCell ref="B3:B5"/>
    <mergeCell ref="K4:K5"/>
  </mergeCells>
  <printOptions/>
  <pageMargins left="0" right="0" top="0.75" bottom="0.3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D42" sqref="D42"/>
    </sheetView>
  </sheetViews>
  <sheetFormatPr defaultColWidth="9.140625" defaultRowHeight="12.75"/>
  <cols>
    <col min="1" max="1" width="1.8515625" style="2" customWidth="1"/>
    <col min="2" max="2" width="41.421875" style="2" customWidth="1"/>
    <col min="3" max="3" width="11.57421875" style="4" customWidth="1"/>
    <col min="4" max="4" width="7.7109375" style="5" customWidth="1"/>
    <col min="5" max="5" width="11.140625" style="4" customWidth="1"/>
    <col min="6" max="6" width="9.421875" style="5" customWidth="1"/>
    <col min="7" max="7" width="2.57421875" style="2" customWidth="1"/>
    <col min="8" max="8" width="9.140625" style="2" customWidth="1"/>
    <col min="9" max="9" width="11.140625" style="4" customWidth="1"/>
    <col min="10" max="10" width="7.57421875" style="5" customWidth="1"/>
    <col min="11" max="11" width="11.140625" style="4" customWidth="1"/>
    <col min="12" max="12" width="7.57421875" style="5" customWidth="1"/>
    <col min="13" max="13" width="11.140625" style="4" customWidth="1"/>
    <col min="14" max="14" width="9.421875" style="5" customWidth="1"/>
    <col min="15" max="16384" width="9.140625" style="2" customWidth="1"/>
  </cols>
  <sheetData>
    <row r="1" spans="1:14" ht="15">
      <c r="A1" s="1158"/>
      <c r="B1" s="3"/>
      <c r="C1" s="3"/>
      <c r="D1" s="3"/>
      <c r="E1" s="3"/>
      <c r="F1" s="3"/>
      <c r="I1" s="2"/>
      <c r="J1" s="2"/>
      <c r="K1" s="2"/>
      <c r="L1" s="2"/>
      <c r="M1" s="2"/>
      <c r="N1" s="2"/>
    </row>
    <row r="2" ht="9.75" customHeight="1"/>
    <row r="3" ht="15.75" customHeight="1">
      <c r="A3" s="3" t="s">
        <v>420</v>
      </c>
    </row>
    <row r="4" ht="13.5" customHeight="1">
      <c r="A4" s="3"/>
    </row>
    <row r="5" spans="2:15" ht="12.75" customHeight="1">
      <c r="B5" s="3"/>
      <c r="F5" s="5" t="s">
        <v>0</v>
      </c>
      <c r="I5"/>
      <c r="J5"/>
      <c r="K5"/>
      <c r="L5"/>
      <c r="M5"/>
      <c r="N5"/>
      <c r="O5"/>
    </row>
    <row r="6" spans="1:15" ht="21" customHeight="1">
      <c r="A6" s="6"/>
      <c r="B6" s="7"/>
      <c r="C6" s="1244" t="s">
        <v>272</v>
      </c>
      <c r="D6" s="1245"/>
      <c r="E6" s="1244" t="s">
        <v>273</v>
      </c>
      <c r="F6" s="1245"/>
      <c r="I6"/>
      <c r="J6"/>
      <c r="K6"/>
      <c r="L6"/>
      <c r="M6"/>
      <c r="N6"/>
      <c r="O6"/>
    </row>
    <row r="7" spans="1:15" s="12" customFormat="1" ht="26.25" customHeight="1">
      <c r="A7" s="10"/>
      <c r="B7" s="11" t="s">
        <v>1</v>
      </c>
      <c r="C7" s="1258">
        <v>61544</v>
      </c>
      <c r="D7" s="1259"/>
      <c r="E7" s="1258">
        <v>74800</v>
      </c>
      <c r="F7" s="1259"/>
      <c r="I7"/>
      <c r="J7"/>
      <c r="K7"/>
      <c r="L7"/>
      <c r="M7"/>
      <c r="N7"/>
      <c r="O7"/>
    </row>
    <row r="8" spans="1:15" ht="21.75" customHeight="1">
      <c r="A8" s="13"/>
      <c r="B8" s="1008" t="s">
        <v>274</v>
      </c>
      <c r="C8" s="1246"/>
      <c r="D8" s="1243"/>
      <c r="E8" s="1246"/>
      <c r="F8" s="1243"/>
      <c r="I8"/>
      <c r="J8"/>
      <c r="K8"/>
      <c r="L8"/>
      <c r="M8"/>
      <c r="N8"/>
      <c r="O8"/>
    </row>
    <row r="9" spans="1:15" ht="21.75" customHeight="1">
      <c r="A9" s="13"/>
      <c r="B9" s="1008" t="s">
        <v>275</v>
      </c>
      <c r="C9" s="1246">
        <v>7390</v>
      </c>
      <c r="D9" s="1239"/>
      <c r="E9" s="1246">
        <v>8020.3</v>
      </c>
      <c r="F9" s="1239"/>
      <c r="I9"/>
      <c r="J9"/>
      <c r="K9"/>
      <c r="L9"/>
      <c r="M9"/>
      <c r="N9"/>
      <c r="O9"/>
    </row>
    <row r="10" spans="1:15" ht="6.75" customHeight="1">
      <c r="A10" s="14"/>
      <c r="B10" s="15"/>
      <c r="C10" s="16"/>
      <c r="D10" s="17"/>
      <c r="E10" s="16"/>
      <c r="F10" s="17"/>
      <c r="I10"/>
      <c r="J10"/>
      <c r="K10"/>
      <c r="L10"/>
      <c r="M10"/>
      <c r="N10"/>
      <c r="O10"/>
    </row>
    <row r="11" spans="1:15" ht="17.25" customHeight="1">
      <c r="A11" s="18"/>
      <c r="B11" s="19"/>
      <c r="C11" s="20"/>
      <c r="D11" s="21"/>
      <c r="E11" s="22"/>
      <c r="F11" s="21"/>
      <c r="I11"/>
      <c r="J11"/>
      <c r="K11"/>
      <c r="L11"/>
      <c r="M11"/>
      <c r="N11"/>
      <c r="O11"/>
    </row>
    <row r="12" spans="1:15" ht="12" customHeight="1">
      <c r="A12" s="18"/>
      <c r="B12" s="26"/>
      <c r="C12" s="27"/>
      <c r="D12" s="27"/>
      <c r="E12" s="27"/>
      <c r="F12" s="27"/>
      <c r="I12"/>
      <c r="J12"/>
      <c r="K12"/>
      <c r="L12"/>
      <c r="M12"/>
      <c r="N12"/>
      <c r="O12"/>
    </row>
    <row r="13" spans="1:15" ht="21" customHeight="1">
      <c r="A13" s="28" t="s">
        <v>421</v>
      </c>
      <c r="I13"/>
      <c r="J13"/>
      <c r="K13"/>
      <c r="L13"/>
      <c r="M13"/>
      <c r="N13"/>
      <c r="O13"/>
    </row>
    <row r="14" spans="2:15" ht="18.75" customHeight="1">
      <c r="B14" s="28"/>
      <c r="F14" s="5" t="s">
        <v>0</v>
      </c>
      <c r="I14"/>
      <c r="J14"/>
      <c r="K14"/>
      <c r="L14"/>
      <c r="M14"/>
      <c r="N14"/>
      <c r="O14"/>
    </row>
    <row r="15" spans="1:15" ht="19.5" customHeight="1">
      <c r="A15" s="6"/>
      <c r="B15" s="29"/>
      <c r="C15" s="1244" t="s">
        <v>272</v>
      </c>
      <c r="D15" s="1245"/>
      <c r="E15" s="1244" t="s">
        <v>273</v>
      </c>
      <c r="F15" s="1245"/>
      <c r="I15"/>
      <c r="J15"/>
      <c r="K15"/>
      <c r="L15"/>
      <c r="M15"/>
      <c r="N15"/>
      <c r="O15"/>
    </row>
    <row r="16" spans="1:15" ht="19.5" customHeight="1">
      <c r="A16" s="13"/>
      <c r="B16" s="30"/>
      <c r="C16" s="31" t="s">
        <v>6</v>
      </c>
      <c r="D16" s="32" t="s">
        <v>7</v>
      </c>
      <c r="E16" s="31" t="s">
        <v>6</v>
      </c>
      <c r="F16" s="32" t="s">
        <v>7</v>
      </c>
      <c r="I16"/>
      <c r="J16"/>
      <c r="K16"/>
      <c r="L16"/>
      <c r="M16"/>
      <c r="N16"/>
      <c r="O16"/>
    </row>
    <row r="17" spans="1:15" ht="21" customHeight="1">
      <c r="A17" s="13"/>
      <c r="B17" s="33" t="s">
        <v>8</v>
      </c>
      <c r="C17" s="34"/>
      <c r="D17" s="35"/>
      <c r="E17" s="34"/>
      <c r="F17" s="35"/>
      <c r="I17"/>
      <c r="J17"/>
      <c r="K17"/>
      <c r="L17"/>
      <c r="M17"/>
      <c r="N17"/>
      <c r="O17"/>
    </row>
    <row r="18" spans="1:15" ht="21" customHeight="1">
      <c r="A18" s="13"/>
      <c r="B18" s="23" t="s">
        <v>3</v>
      </c>
      <c r="C18" s="37">
        <f>SUM(C19:C25)</f>
        <v>7390</v>
      </c>
      <c r="D18" s="36">
        <f>(C18/$C$33)*100</f>
        <v>94.53391836055927</v>
      </c>
      <c r="E18" s="37">
        <f>SUM(E19:E25)</f>
        <v>8020.3</v>
      </c>
      <c r="F18" s="36">
        <f>(E18/$E$33)*100</f>
        <v>94.2444859637372</v>
      </c>
      <c r="I18"/>
      <c r="J18"/>
      <c r="K18"/>
      <c r="L18"/>
      <c r="M18"/>
      <c r="N18"/>
      <c r="O18"/>
    </row>
    <row r="19" spans="1:15" ht="21" customHeight="1">
      <c r="A19" s="13"/>
      <c r="B19" s="38" t="s">
        <v>9</v>
      </c>
      <c r="C19" s="40">
        <v>104</v>
      </c>
      <c r="D19" s="39">
        <f>(C19/$C$33)*100</f>
        <v>1.3303826129226204</v>
      </c>
      <c r="E19" s="40">
        <v>125.1</v>
      </c>
      <c r="F19" s="39">
        <f>E19/$E$33*100</f>
        <v>1.4700179786371486</v>
      </c>
      <c r="I19"/>
      <c r="J19"/>
      <c r="K19"/>
      <c r="L19"/>
      <c r="M19"/>
      <c r="N19"/>
      <c r="O19"/>
    </row>
    <row r="20" spans="1:15" ht="21" customHeight="1">
      <c r="A20" s="13"/>
      <c r="B20" s="38" t="s">
        <v>10</v>
      </c>
      <c r="C20" s="40">
        <v>2100.1</v>
      </c>
      <c r="D20" s="39">
        <f aca="true" t="shared" si="0" ref="D20:D32">(C20/$C$33)*100</f>
        <v>26.86477428268072</v>
      </c>
      <c r="E20" s="40">
        <v>2182.2</v>
      </c>
      <c r="F20" s="39">
        <f aca="true" t="shared" si="1" ref="F20:F32">E20/$E$33*100</f>
        <v>25.642471886346808</v>
      </c>
      <c r="I20"/>
      <c r="J20"/>
      <c r="K20"/>
      <c r="L20"/>
      <c r="M20"/>
      <c r="N20"/>
      <c r="O20"/>
    </row>
    <row r="21" spans="1:15" ht="21" customHeight="1">
      <c r="A21" s="13"/>
      <c r="B21" s="38" t="s">
        <v>11</v>
      </c>
      <c r="C21" s="40">
        <v>3797.4</v>
      </c>
      <c r="D21" s="39">
        <f t="shared" si="0"/>
        <v>48.57687436838806</v>
      </c>
      <c r="E21" s="40">
        <v>4114.8</v>
      </c>
      <c r="F21" s="39">
        <f t="shared" si="1"/>
        <v>48.351958261360025</v>
      </c>
      <c r="I21"/>
      <c r="J21"/>
      <c r="K21"/>
      <c r="L21"/>
      <c r="M21"/>
      <c r="N21"/>
      <c r="O21"/>
    </row>
    <row r="22" spans="1:15" ht="21" customHeight="1">
      <c r="A22" s="13"/>
      <c r="B22" s="38" t="s">
        <v>12</v>
      </c>
      <c r="C22" s="40">
        <v>315.1</v>
      </c>
      <c r="D22" s="39">
        <f t="shared" si="0"/>
        <v>4.030803474345363</v>
      </c>
      <c r="E22" s="40">
        <v>370.8</v>
      </c>
      <c r="F22" s="39">
        <f t="shared" si="1"/>
        <v>4.357175591356153</v>
      </c>
      <c r="I22"/>
      <c r="J22"/>
      <c r="K22"/>
      <c r="L22"/>
      <c r="M22"/>
      <c r="N22"/>
      <c r="O22"/>
    </row>
    <row r="23" spans="1:15" ht="21" customHeight="1">
      <c r="A23" s="13"/>
      <c r="B23" s="38" t="s">
        <v>276</v>
      </c>
      <c r="C23" s="40">
        <v>545.4</v>
      </c>
      <c r="D23" s="39">
        <f t="shared" si="0"/>
        <v>6.976833433538434</v>
      </c>
      <c r="E23" s="40">
        <v>642.7</v>
      </c>
      <c r="F23" s="39">
        <f t="shared" si="1"/>
        <v>7.5522026768193085</v>
      </c>
      <c r="I23"/>
      <c r="J23"/>
      <c r="K23"/>
      <c r="L23"/>
      <c r="M23"/>
      <c r="N23"/>
      <c r="O23"/>
    </row>
    <row r="24" spans="1:15" ht="21" customHeight="1">
      <c r="A24" s="13"/>
      <c r="B24" s="1009" t="s">
        <v>277</v>
      </c>
      <c r="C24" s="40">
        <v>250.6</v>
      </c>
      <c r="D24" s="39">
        <f t="shared" si="0"/>
        <v>3.20571041152316</v>
      </c>
      <c r="E24" s="40">
        <v>285.8</v>
      </c>
      <c r="F24" s="39">
        <f t="shared" si="1"/>
        <v>3.358362416422839</v>
      </c>
      <c r="I24"/>
      <c r="J24"/>
      <c r="K24"/>
      <c r="L24"/>
      <c r="M24"/>
      <c r="N24"/>
      <c r="O24"/>
    </row>
    <row r="25" spans="1:15" ht="21" customHeight="1">
      <c r="A25" s="13"/>
      <c r="B25" s="38" t="s">
        <v>278</v>
      </c>
      <c r="C25" s="40">
        <v>277.4</v>
      </c>
      <c r="D25" s="39">
        <f t="shared" si="0"/>
        <v>3.548539777160912</v>
      </c>
      <c r="E25" s="40">
        <v>298.9</v>
      </c>
      <c r="F25" s="39">
        <f t="shared" si="1"/>
        <v>3.512297152794914</v>
      </c>
      <c r="I25"/>
      <c r="J25"/>
      <c r="K25"/>
      <c r="L25"/>
      <c r="M25"/>
      <c r="N25"/>
      <c r="O25"/>
    </row>
    <row r="26" spans="1:15" ht="21" customHeight="1">
      <c r="A26" s="13"/>
      <c r="B26" s="33" t="s">
        <v>279</v>
      </c>
      <c r="C26" s="41">
        <f>C27+C28+C29++C30+C31</f>
        <v>129.2</v>
      </c>
      <c r="D26" s="36">
        <f t="shared" si="0"/>
        <v>1.6527445537461782</v>
      </c>
      <c r="E26" s="41">
        <f>E27+E28+E29++E30+E31</f>
        <v>156.9</v>
      </c>
      <c r="F26" s="36">
        <f t="shared" si="1"/>
        <v>1.8436916134945536</v>
      </c>
      <c r="G26" s="42"/>
      <c r="I26"/>
      <c r="J26"/>
      <c r="K26"/>
      <c r="L26"/>
      <c r="M26"/>
      <c r="N26"/>
      <c r="O26"/>
    </row>
    <row r="27" spans="1:15" ht="21" customHeight="1">
      <c r="A27" s="13"/>
      <c r="B27" s="43" t="s">
        <v>13</v>
      </c>
      <c r="C27" s="40">
        <v>2.1</v>
      </c>
      <c r="D27" s="44" t="s">
        <v>14</v>
      </c>
      <c r="E27" s="40">
        <v>4.4</v>
      </c>
      <c r="F27" s="39">
        <f t="shared" si="1"/>
        <v>0.051703270231842166</v>
      </c>
      <c r="G27" s="42"/>
      <c r="I27"/>
      <c r="J27"/>
      <c r="K27"/>
      <c r="L27"/>
      <c r="M27"/>
      <c r="N27"/>
      <c r="O27"/>
    </row>
    <row r="28" spans="1:15" ht="21" customHeight="1">
      <c r="A28" s="13"/>
      <c r="B28" s="43" t="s">
        <v>10</v>
      </c>
      <c r="C28" s="40">
        <v>119.6</v>
      </c>
      <c r="D28" s="39">
        <f t="shared" si="0"/>
        <v>1.5299400048610132</v>
      </c>
      <c r="E28" s="40">
        <v>109.5</v>
      </c>
      <c r="F28" s="39">
        <f t="shared" si="1"/>
        <v>1.2867063841787993</v>
      </c>
      <c r="I28"/>
      <c r="J28"/>
      <c r="K28"/>
      <c r="L28"/>
      <c r="M28"/>
      <c r="N28"/>
      <c r="O28"/>
    </row>
    <row r="29" spans="1:15" ht="21" customHeight="1">
      <c r="A29" s="13"/>
      <c r="B29" s="1010" t="s">
        <v>280</v>
      </c>
      <c r="C29" s="40">
        <v>5</v>
      </c>
      <c r="D29" s="39">
        <f t="shared" si="0"/>
        <v>0.06396070254435675</v>
      </c>
      <c r="E29" s="40">
        <v>37</v>
      </c>
      <c r="F29" s="39">
        <f t="shared" si="1"/>
        <v>0.4347774996768546</v>
      </c>
      <c r="I29"/>
      <c r="J29"/>
      <c r="K29"/>
      <c r="L29"/>
      <c r="M29"/>
      <c r="N29"/>
      <c r="O29"/>
    </row>
    <row r="30" spans="1:15" ht="21" customHeight="1">
      <c r="A30" s="13"/>
      <c r="B30" s="38" t="s">
        <v>276</v>
      </c>
      <c r="C30" s="40">
        <v>2</v>
      </c>
      <c r="D30" s="44" t="s">
        <v>14</v>
      </c>
      <c r="E30" s="40">
        <v>5</v>
      </c>
      <c r="F30" s="39">
        <f t="shared" si="1"/>
        <v>0.05875371617254791</v>
      </c>
      <c r="I30"/>
      <c r="J30"/>
      <c r="K30"/>
      <c r="L30"/>
      <c r="M30"/>
      <c r="N30"/>
      <c r="O30"/>
    </row>
    <row r="31" spans="1:15" ht="21" customHeight="1">
      <c r="A31" s="13"/>
      <c r="B31" s="1010" t="s">
        <v>281</v>
      </c>
      <c r="C31" s="40">
        <v>0.5</v>
      </c>
      <c r="D31" s="44" t="s">
        <v>14</v>
      </c>
      <c r="E31" s="40">
        <v>1</v>
      </c>
      <c r="F31" s="44" t="s">
        <v>14</v>
      </c>
      <c r="I31"/>
      <c r="J31"/>
      <c r="K31"/>
      <c r="L31"/>
      <c r="M31"/>
      <c r="N31"/>
      <c r="O31"/>
    </row>
    <row r="32" spans="1:15" ht="21" customHeight="1">
      <c r="A32" s="14"/>
      <c r="B32" s="45" t="s">
        <v>282</v>
      </c>
      <c r="C32" s="46">
        <v>298.1</v>
      </c>
      <c r="D32" s="36">
        <f t="shared" si="0"/>
        <v>3.8133370856945494</v>
      </c>
      <c r="E32" s="46">
        <v>332.9</v>
      </c>
      <c r="F32" s="36">
        <f t="shared" si="1"/>
        <v>3.9118224227682394</v>
      </c>
      <c r="I32"/>
      <c r="J32"/>
      <c r="K32"/>
      <c r="L32"/>
      <c r="M32"/>
      <c r="N32"/>
      <c r="O32"/>
    </row>
    <row r="33" spans="1:15" ht="22.5" customHeight="1">
      <c r="A33" s="14"/>
      <c r="B33" s="45" t="s">
        <v>15</v>
      </c>
      <c r="C33" s="47">
        <f>SUM(C18,C26,C32)</f>
        <v>7817.3</v>
      </c>
      <c r="D33" s="48">
        <f>D18+D26+D32</f>
        <v>100</v>
      </c>
      <c r="E33" s="47">
        <f>SUM(E18,E26,E32)</f>
        <v>8510.1</v>
      </c>
      <c r="F33" s="48">
        <f>F18+F26+F32</f>
        <v>100</v>
      </c>
      <c r="I33"/>
      <c r="J33"/>
      <c r="K33"/>
      <c r="L33"/>
      <c r="M33"/>
      <c r="N33"/>
      <c r="O33"/>
    </row>
    <row r="34" spans="1:15" ht="22.5" customHeight="1">
      <c r="A34" s="18"/>
      <c r="B34" s="1011"/>
      <c r="C34" s="1012"/>
      <c r="D34" s="1013"/>
      <c r="E34" s="1012"/>
      <c r="F34" s="1013"/>
      <c r="I34"/>
      <c r="J34"/>
      <c r="K34"/>
      <c r="L34"/>
      <c r="M34"/>
      <c r="N34"/>
      <c r="O34"/>
    </row>
    <row r="35" spans="2:15" ht="20.25" customHeight="1">
      <c r="B35" s="49" t="s">
        <v>283</v>
      </c>
      <c r="C35" s="49"/>
      <c r="D35" s="50"/>
      <c r="I35"/>
      <c r="J35"/>
      <c r="K35"/>
      <c r="L35"/>
      <c r="M35"/>
      <c r="N35"/>
      <c r="O35"/>
    </row>
    <row r="36" spans="2:15" ht="20.25" customHeight="1">
      <c r="B36" s="49" t="s">
        <v>284</v>
      </c>
      <c r="C36" s="50"/>
      <c r="D36" s="4"/>
      <c r="I36"/>
      <c r="J36"/>
      <c r="K36"/>
      <c r="L36"/>
      <c r="M36"/>
      <c r="N36"/>
      <c r="O36"/>
    </row>
    <row r="37" spans="2:15" ht="20.25" customHeight="1">
      <c r="B37" s="49" t="s">
        <v>285</v>
      </c>
      <c r="C37" s="50"/>
      <c r="D37" s="4"/>
      <c r="I37"/>
      <c r="J37"/>
      <c r="K37"/>
      <c r="L37"/>
      <c r="M37"/>
      <c r="N37"/>
      <c r="O37"/>
    </row>
    <row r="38" spans="2:15" ht="20.25" customHeight="1">
      <c r="B38" s="49" t="s">
        <v>16</v>
      </c>
      <c r="C38" s="50"/>
      <c r="I38"/>
      <c r="J38"/>
      <c r="K38"/>
      <c r="L38"/>
      <c r="M38"/>
      <c r="N38"/>
      <c r="O38"/>
    </row>
    <row r="39" spans="2:15" ht="20.25" customHeight="1">
      <c r="B39" s="49" t="s">
        <v>441</v>
      </c>
      <c r="I39"/>
      <c r="J39"/>
      <c r="K39"/>
      <c r="L39"/>
      <c r="M39"/>
      <c r="N39"/>
      <c r="O39"/>
    </row>
    <row r="40" ht="15.75" customHeight="1">
      <c r="B40" s="52"/>
    </row>
    <row r="41" ht="15">
      <c r="J41" s="51"/>
    </row>
  </sheetData>
  <mergeCells count="10">
    <mergeCell ref="C15:D15"/>
    <mergeCell ref="E15:F15"/>
    <mergeCell ref="E8:F8"/>
    <mergeCell ref="C9:D9"/>
    <mergeCell ref="E9:F9"/>
    <mergeCell ref="C7:D7"/>
    <mergeCell ref="E7:F7"/>
    <mergeCell ref="C8:D8"/>
    <mergeCell ref="C6:D6"/>
    <mergeCell ref="E6:F6"/>
  </mergeCells>
  <printOptions/>
  <pageMargins left="0.58" right="0.25" top="0.67" bottom="0.1" header="0.36" footer="0.31"/>
  <pageSetup horizontalDpi="300" verticalDpi="300" orientation="portrait" paperSize="9" r:id="rId3"/>
  <headerFooter alignWithMargins="0">
    <oddHeader>&amp;C- 8 -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H4" sqref="H4:I5"/>
    </sheetView>
  </sheetViews>
  <sheetFormatPr defaultColWidth="9.140625" defaultRowHeight="12.75"/>
  <cols>
    <col min="1" max="1" width="16.140625" style="2" customWidth="1"/>
    <col min="2" max="2" width="3.421875" style="2" customWidth="1"/>
    <col min="3" max="4" width="12.7109375" style="2" customWidth="1"/>
    <col min="5" max="5" width="6.8515625" style="2" customWidth="1"/>
    <col min="6" max="6" width="2.57421875" style="2" customWidth="1"/>
    <col min="7" max="7" width="2.28125" style="2" customWidth="1"/>
    <col min="8" max="8" width="6.7109375" style="2" customWidth="1"/>
    <col min="9" max="9" width="4.57421875" style="2" customWidth="1"/>
    <col min="10" max="10" width="3.140625" style="2" customWidth="1"/>
    <col min="11" max="12" width="4.421875" style="2" customWidth="1"/>
    <col min="13" max="13" width="11.140625" style="2" customWidth="1"/>
    <col min="14" max="14" width="6.00390625" style="54" customWidth="1"/>
    <col min="15" max="16384" width="9.140625" style="54" customWidth="1"/>
  </cols>
  <sheetData>
    <row r="1" spans="1:4" ht="24.75" customHeight="1">
      <c r="A1" s="53" t="s">
        <v>418</v>
      </c>
      <c r="B1" s="53"/>
      <c r="C1" s="53"/>
      <c r="D1" s="53"/>
    </row>
    <row r="2" spans="1:4" ht="6" customHeight="1">
      <c r="A2" s="25"/>
      <c r="B2" s="53"/>
      <c r="C2" s="53"/>
      <c r="D2" s="53"/>
    </row>
    <row r="3" spans="1:13" ht="15" customHeight="1">
      <c r="A3" s="1316" t="s">
        <v>17</v>
      </c>
      <c r="B3" s="1317"/>
      <c r="C3" s="1318"/>
      <c r="D3" s="1325" t="s">
        <v>18</v>
      </c>
      <c r="E3" s="1325"/>
      <c r="F3" s="1325"/>
      <c r="G3" s="1325"/>
      <c r="H3" s="1325"/>
      <c r="I3" s="1325"/>
      <c r="J3" s="1325"/>
      <c r="K3" s="1325"/>
      <c r="L3" s="1325"/>
      <c r="M3" s="1325"/>
    </row>
    <row r="4" spans="1:13" s="55" customFormat="1" ht="15" customHeight="1">
      <c r="A4" s="1319"/>
      <c r="B4" s="1320"/>
      <c r="C4" s="1321"/>
      <c r="D4" s="1268" t="s">
        <v>5</v>
      </c>
      <c r="E4" s="1268" t="s">
        <v>42</v>
      </c>
      <c r="F4" s="1268"/>
      <c r="G4" s="1268"/>
      <c r="H4" s="1268" t="s">
        <v>427</v>
      </c>
      <c r="I4" s="1268"/>
      <c r="J4" s="1326" t="s">
        <v>19</v>
      </c>
      <c r="K4" s="1326"/>
      <c r="L4" s="1326"/>
      <c r="M4" s="1268" t="s">
        <v>20</v>
      </c>
    </row>
    <row r="5" spans="1:13" s="55" customFormat="1" ht="14.25" customHeight="1">
      <c r="A5" s="1322"/>
      <c r="B5" s="1323"/>
      <c r="C5" s="1324"/>
      <c r="D5" s="1269"/>
      <c r="E5" s="1269"/>
      <c r="F5" s="1269"/>
      <c r="G5" s="1269"/>
      <c r="H5" s="1269"/>
      <c r="I5" s="1269"/>
      <c r="J5" s="1327" t="s">
        <v>21</v>
      </c>
      <c r="K5" s="1327"/>
      <c r="L5" s="1327"/>
      <c r="M5" s="1269"/>
    </row>
    <row r="6" spans="1:13" s="2" customFormat="1" ht="24" customHeight="1">
      <c r="A6" s="56" t="s">
        <v>22</v>
      </c>
      <c r="B6" s="53"/>
      <c r="C6" s="53"/>
      <c r="D6" s="57">
        <f aca="true" t="shared" si="0" ref="D6:D17">SUM(E6,H6,J6,M6)</f>
        <v>139</v>
      </c>
      <c r="E6" s="1298">
        <v>18</v>
      </c>
      <c r="F6" s="1299"/>
      <c r="G6" s="1300"/>
      <c r="H6" s="1314">
        <v>1</v>
      </c>
      <c r="I6" s="1315"/>
      <c r="J6" s="1302">
        <v>15</v>
      </c>
      <c r="K6" s="1303"/>
      <c r="L6" s="1304"/>
      <c r="M6" s="58">
        <f>10+95</f>
        <v>105</v>
      </c>
    </row>
    <row r="7" spans="1:13" s="2" customFormat="1" ht="24" customHeight="1">
      <c r="A7" s="56" t="s">
        <v>23</v>
      </c>
      <c r="B7" s="53"/>
      <c r="C7" s="53"/>
      <c r="D7" s="57">
        <f t="shared" si="0"/>
        <v>111</v>
      </c>
      <c r="E7" s="1305">
        <v>23</v>
      </c>
      <c r="F7" s="1306"/>
      <c r="G7" s="1307"/>
      <c r="H7" s="1301">
        <v>1</v>
      </c>
      <c r="I7" s="1301"/>
      <c r="J7" s="1308">
        <v>1</v>
      </c>
      <c r="K7" s="1309"/>
      <c r="L7" s="1310"/>
      <c r="M7" s="58">
        <f>1+85</f>
        <v>86</v>
      </c>
    </row>
    <row r="8" spans="1:16" s="2" customFormat="1" ht="24" customHeight="1">
      <c r="A8" s="56" t="s">
        <v>24</v>
      </c>
      <c r="B8" s="53"/>
      <c r="C8" s="53"/>
      <c r="D8" s="57">
        <f t="shared" si="0"/>
        <v>105</v>
      </c>
      <c r="E8" s="1305">
        <v>23</v>
      </c>
      <c r="F8" s="1306"/>
      <c r="G8" s="1307"/>
      <c r="H8" s="1281" t="s">
        <v>40</v>
      </c>
      <c r="I8" s="1282"/>
      <c r="J8" s="1308">
        <v>2</v>
      </c>
      <c r="K8" s="1309"/>
      <c r="L8" s="1310"/>
      <c r="M8" s="58">
        <f>1+79</f>
        <v>80</v>
      </c>
      <c r="O8" s="998"/>
      <c r="P8" s="998"/>
    </row>
    <row r="9" spans="1:13" s="2" customFormat="1" ht="24" customHeight="1">
      <c r="A9" s="56" t="s">
        <v>25</v>
      </c>
      <c r="B9" s="53"/>
      <c r="C9" s="53"/>
      <c r="D9" s="57">
        <f t="shared" si="0"/>
        <v>124</v>
      </c>
      <c r="E9" s="1305">
        <v>29</v>
      </c>
      <c r="F9" s="1306"/>
      <c r="G9" s="1307"/>
      <c r="H9" s="1301">
        <v>3</v>
      </c>
      <c r="I9" s="1301"/>
      <c r="J9" s="1308">
        <v>1</v>
      </c>
      <c r="K9" s="1309"/>
      <c r="L9" s="1310"/>
      <c r="M9" s="58">
        <f>1+90</f>
        <v>91</v>
      </c>
    </row>
    <row r="10" spans="1:13" s="2" customFormat="1" ht="24" customHeight="1">
      <c r="A10" s="56" t="s">
        <v>26</v>
      </c>
      <c r="B10" s="53"/>
      <c r="C10" s="53"/>
      <c r="D10" s="57">
        <f t="shared" si="0"/>
        <v>101</v>
      </c>
      <c r="E10" s="1305">
        <v>19</v>
      </c>
      <c r="F10" s="1306"/>
      <c r="G10" s="1307"/>
      <c r="H10" s="1301">
        <v>1</v>
      </c>
      <c r="I10" s="1301"/>
      <c r="J10" s="1308">
        <v>11</v>
      </c>
      <c r="K10" s="1309"/>
      <c r="L10" s="1310"/>
      <c r="M10" s="58">
        <f>3+67</f>
        <v>70</v>
      </c>
    </row>
    <row r="11" spans="1:13" s="2" customFormat="1" ht="24" customHeight="1">
      <c r="A11" s="56" t="s">
        <v>27</v>
      </c>
      <c r="B11" s="53"/>
      <c r="C11" s="53"/>
      <c r="D11" s="57">
        <f t="shared" si="0"/>
        <v>60</v>
      </c>
      <c r="E11" s="1305">
        <v>10</v>
      </c>
      <c r="F11" s="1306"/>
      <c r="G11" s="1307"/>
      <c r="H11" s="1301">
        <v>1</v>
      </c>
      <c r="I11" s="1301"/>
      <c r="J11" s="1308">
        <v>2</v>
      </c>
      <c r="K11" s="1309"/>
      <c r="L11" s="1310"/>
      <c r="M11" s="58">
        <f>2+45</f>
        <v>47</v>
      </c>
    </row>
    <row r="12" spans="1:13" s="2" customFormat="1" ht="24" customHeight="1">
      <c r="A12" s="56" t="s">
        <v>28</v>
      </c>
      <c r="B12" s="53"/>
      <c r="C12" s="53"/>
      <c r="D12" s="57">
        <f t="shared" si="0"/>
        <v>310</v>
      </c>
      <c r="E12" s="1305">
        <v>31</v>
      </c>
      <c r="F12" s="1306"/>
      <c r="G12" s="1307"/>
      <c r="H12" s="1301">
        <v>2</v>
      </c>
      <c r="I12" s="1301"/>
      <c r="J12" s="1308">
        <v>27</v>
      </c>
      <c r="K12" s="1309"/>
      <c r="L12" s="1310"/>
      <c r="M12" s="58">
        <f>13+237</f>
        <v>250</v>
      </c>
    </row>
    <row r="13" spans="1:13" s="2" customFormat="1" ht="24" customHeight="1">
      <c r="A13" s="56" t="s">
        <v>29</v>
      </c>
      <c r="B13" s="53"/>
      <c r="C13" s="53"/>
      <c r="D13" s="57">
        <f t="shared" si="0"/>
        <v>50</v>
      </c>
      <c r="E13" s="1305">
        <v>15</v>
      </c>
      <c r="F13" s="1306"/>
      <c r="G13" s="1307"/>
      <c r="H13" s="1301">
        <v>3</v>
      </c>
      <c r="I13" s="1301"/>
      <c r="J13" s="1311" t="s">
        <v>40</v>
      </c>
      <c r="K13" s="1312"/>
      <c r="L13" s="1313"/>
      <c r="M13" s="58">
        <f>1+31</f>
        <v>32</v>
      </c>
    </row>
    <row r="14" spans="1:13" s="2" customFormat="1" ht="24" customHeight="1">
      <c r="A14" s="56" t="s">
        <v>30</v>
      </c>
      <c r="B14" s="53"/>
      <c r="C14" s="53"/>
      <c r="D14" s="59">
        <f t="shared" si="0"/>
        <v>38</v>
      </c>
      <c r="E14" s="1293">
        <v>11</v>
      </c>
      <c r="F14" s="1294"/>
      <c r="G14" s="1295"/>
      <c r="H14" s="1296" t="s">
        <v>40</v>
      </c>
      <c r="I14" s="1297"/>
      <c r="J14" s="1283" t="s">
        <v>40</v>
      </c>
      <c r="K14" s="1284"/>
      <c r="L14" s="1285"/>
      <c r="M14" s="58">
        <f>2+25</f>
        <v>27</v>
      </c>
    </row>
    <row r="15" spans="1:13" s="2" customFormat="1" ht="24" customHeight="1">
      <c r="A15" s="60" t="s">
        <v>31</v>
      </c>
      <c r="B15" s="61"/>
      <c r="C15" s="61"/>
      <c r="D15" s="62">
        <f t="shared" si="0"/>
        <v>1038</v>
      </c>
      <c r="E15" s="1298">
        <f>SUM(E6:G14)</f>
        <v>179</v>
      </c>
      <c r="F15" s="1299"/>
      <c r="G15" s="1300"/>
      <c r="H15" s="1301">
        <f>SUM(H6:I14)</f>
        <v>12</v>
      </c>
      <c r="I15" s="1301"/>
      <c r="J15" s="1302">
        <f>SUM(J6:L14)</f>
        <v>59</v>
      </c>
      <c r="K15" s="1303"/>
      <c r="L15" s="1304"/>
      <c r="M15" s="63">
        <f>SUM(M6:O14)</f>
        <v>788</v>
      </c>
    </row>
    <row r="16" spans="1:13" s="2" customFormat="1" ht="24" customHeight="1">
      <c r="A16" s="64" t="s">
        <v>32</v>
      </c>
      <c r="B16" s="65"/>
      <c r="C16" s="65"/>
      <c r="D16" s="57">
        <f t="shared" si="0"/>
        <v>32</v>
      </c>
      <c r="E16" s="1278">
        <v>3</v>
      </c>
      <c r="F16" s="1279"/>
      <c r="G16" s="1280"/>
      <c r="H16" s="1281" t="s">
        <v>40</v>
      </c>
      <c r="I16" s="1282"/>
      <c r="J16" s="1283" t="s">
        <v>40</v>
      </c>
      <c r="K16" s="1284"/>
      <c r="L16" s="1285"/>
      <c r="M16" s="66">
        <f>25+4</f>
        <v>29</v>
      </c>
    </row>
    <row r="17" spans="1:13" s="2" customFormat="1" ht="24" customHeight="1">
      <c r="A17" s="64" t="s">
        <v>33</v>
      </c>
      <c r="B17" s="65"/>
      <c r="C17" s="65"/>
      <c r="D17" s="67">
        <f t="shared" si="0"/>
        <v>1070</v>
      </c>
      <c r="E17" s="1286">
        <f>SUM(E15:G16)</f>
        <v>182</v>
      </c>
      <c r="F17" s="1287"/>
      <c r="G17" s="1288"/>
      <c r="H17" s="1289">
        <f>SUM(H15:I16)</f>
        <v>12</v>
      </c>
      <c r="I17" s="1289"/>
      <c r="J17" s="1290">
        <f>SUM(J15:L16)</f>
        <v>59</v>
      </c>
      <c r="K17" s="1291"/>
      <c r="L17" s="1292"/>
      <c r="M17" s="68">
        <f>SUM(M15:M16)</f>
        <v>817</v>
      </c>
    </row>
    <row r="18" spans="1:13" s="2" customFormat="1" ht="16.5" customHeight="1">
      <c r="A18" s="53"/>
      <c r="B18" s="53"/>
      <c r="C18" s="53"/>
      <c r="D18" s="53"/>
      <c r="E18" s="69"/>
      <c r="F18" s="69"/>
      <c r="G18" s="69"/>
      <c r="H18" s="69"/>
      <c r="I18" s="69"/>
      <c r="J18" s="69"/>
      <c r="K18" s="69"/>
      <c r="L18" s="69"/>
      <c r="M18" s="69"/>
    </row>
    <row r="19" spans="1:4" s="2" customFormat="1" ht="18.75" customHeight="1">
      <c r="A19" s="18" t="s">
        <v>419</v>
      </c>
      <c r="B19" s="18"/>
      <c r="C19" s="18"/>
      <c r="D19" s="18"/>
    </row>
    <row r="20" s="2" customFormat="1" ht="13.5" customHeight="1"/>
    <row r="21" spans="1:13" s="2" customFormat="1" ht="17.25" customHeight="1">
      <c r="A21" s="1226" t="s">
        <v>34</v>
      </c>
      <c r="B21" s="1227"/>
      <c r="C21" s="1260"/>
      <c r="D21" s="1244" t="s">
        <v>18</v>
      </c>
      <c r="E21" s="1267"/>
      <c r="F21" s="1267"/>
      <c r="G21" s="1267"/>
      <c r="H21" s="1267"/>
      <c r="I21" s="1267"/>
      <c r="J21" s="1267"/>
      <c r="K21" s="1267"/>
      <c r="L21" s="1267"/>
      <c r="M21" s="1245"/>
    </row>
    <row r="22" spans="1:13" s="2" customFormat="1" ht="14.25" customHeight="1">
      <c r="A22" s="1261"/>
      <c r="B22" s="1262"/>
      <c r="C22" s="1263"/>
      <c r="D22" s="1268" t="s">
        <v>5</v>
      </c>
      <c r="E22" s="1226" t="s">
        <v>43</v>
      </c>
      <c r="F22" s="1227"/>
      <c r="G22" s="1260"/>
      <c r="H22" s="1268" t="s">
        <v>427</v>
      </c>
      <c r="I22" s="1268"/>
      <c r="J22" s="1270" t="s">
        <v>19</v>
      </c>
      <c r="K22" s="1271"/>
      <c r="L22" s="1272"/>
      <c r="M22" s="1273" t="s">
        <v>20</v>
      </c>
    </row>
    <row r="23" spans="1:13" s="2" customFormat="1" ht="13.5" customHeight="1">
      <c r="A23" s="1264"/>
      <c r="B23" s="1265"/>
      <c r="C23" s="1266"/>
      <c r="D23" s="1269"/>
      <c r="E23" s="1264"/>
      <c r="F23" s="1265"/>
      <c r="G23" s="1266"/>
      <c r="H23" s="1269"/>
      <c r="I23" s="1269"/>
      <c r="J23" s="1275" t="s">
        <v>21</v>
      </c>
      <c r="K23" s="1276"/>
      <c r="L23" s="1277"/>
      <c r="M23" s="1274"/>
    </row>
    <row r="24" spans="1:13" s="2" customFormat="1" ht="27" customHeight="1">
      <c r="A24" s="56" t="s">
        <v>35</v>
      </c>
      <c r="B24" s="53"/>
      <c r="C24" s="53"/>
      <c r="D24" s="62">
        <f aca="true" t="shared" si="1" ref="D24:D29">SUM(E24,H24,J24,M24)</f>
        <v>357</v>
      </c>
      <c r="E24" s="1224">
        <v>65</v>
      </c>
      <c r="F24" s="1241"/>
      <c r="G24" s="1225"/>
      <c r="H24" s="1232">
        <v>2</v>
      </c>
      <c r="I24" s="1241"/>
      <c r="J24" s="1232">
        <v>18</v>
      </c>
      <c r="K24" s="1241"/>
      <c r="L24" s="1233"/>
      <c r="M24" s="74">
        <f>12+260</f>
        <v>272</v>
      </c>
    </row>
    <row r="25" spans="1:13" s="2" customFormat="1" ht="27" customHeight="1">
      <c r="A25" s="56" t="s">
        <v>36</v>
      </c>
      <c r="B25" s="53"/>
      <c r="C25" s="53"/>
      <c r="D25" s="57">
        <f t="shared" si="1"/>
        <v>259</v>
      </c>
      <c r="E25" s="1232">
        <v>51</v>
      </c>
      <c r="F25" s="1241"/>
      <c r="G25" s="1233"/>
      <c r="H25" s="1232">
        <v>6</v>
      </c>
      <c r="I25" s="1241"/>
      <c r="J25" s="1232">
        <v>10</v>
      </c>
      <c r="K25" s="1241"/>
      <c r="L25" s="1233"/>
      <c r="M25" s="74">
        <f>7+185</f>
        <v>192</v>
      </c>
    </row>
    <row r="26" spans="1:13" s="2" customFormat="1" ht="27" customHeight="1">
      <c r="A26" s="56" t="s">
        <v>37</v>
      </c>
      <c r="B26" s="53"/>
      <c r="C26" s="53"/>
      <c r="D26" s="57">
        <f t="shared" si="1"/>
        <v>232</v>
      </c>
      <c r="E26" s="1232">
        <v>36</v>
      </c>
      <c r="F26" s="1241"/>
      <c r="G26" s="1233"/>
      <c r="H26" s="1232">
        <v>2</v>
      </c>
      <c r="I26" s="1241"/>
      <c r="J26" s="1232">
        <v>15</v>
      </c>
      <c r="K26" s="1241"/>
      <c r="L26" s="1233"/>
      <c r="M26" s="75">
        <f>9+170</f>
        <v>179</v>
      </c>
    </row>
    <row r="27" spans="1:13" s="2" customFormat="1" ht="27" customHeight="1">
      <c r="A27" s="56" t="s">
        <v>38</v>
      </c>
      <c r="B27" s="53"/>
      <c r="C27" s="53"/>
      <c r="D27" s="57">
        <f t="shared" si="1"/>
        <v>190</v>
      </c>
      <c r="E27" s="1228">
        <v>27</v>
      </c>
      <c r="F27" s="1222"/>
      <c r="G27" s="1223"/>
      <c r="H27" s="1232">
        <v>2</v>
      </c>
      <c r="I27" s="1241"/>
      <c r="J27" s="1232">
        <v>16</v>
      </c>
      <c r="K27" s="1241"/>
      <c r="L27" s="1233"/>
      <c r="M27" s="75">
        <f>6+139</f>
        <v>145</v>
      </c>
    </row>
    <row r="28" spans="1:13" s="2" customFormat="1" ht="27" customHeight="1">
      <c r="A28" s="56" t="s">
        <v>39</v>
      </c>
      <c r="B28" s="53"/>
      <c r="C28" s="53"/>
      <c r="D28" s="76">
        <f t="shared" si="1"/>
        <v>32</v>
      </c>
      <c r="E28" s="1240">
        <v>3</v>
      </c>
      <c r="F28" s="1241"/>
      <c r="G28" s="1242"/>
      <c r="H28" s="1234" t="s">
        <v>40</v>
      </c>
      <c r="I28" s="1235"/>
      <c r="J28" s="1236" t="s">
        <v>40</v>
      </c>
      <c r="K28" s="1237"/>
      <c r="L28" s="1238"/>
      <c r="M28" s="75">
        <f>25+4</f>
        <v>29</v>
      </c>
    </row>
    <row r="29" spans="1:13" s="2" customFormat="1" ht="27" customHeight="1">
      <c r="A29" s="77" t="s">
        <v>41</v>
      </c>
      <c r="B29" s="78"/>
      <c r="C29" s="78"/>
      <c r="D29" s="67">
        <f t="shared" si="1"/>
        <v>1070</v>
      </c>
      <c r="E29" s="1229">
        <f>SUM(E24:G28)</f>
        <v>182</v>
      </c>
      <c r="F29" s="1230"/>
      <c r="G29" s="1231"/>
      <c r="H29" s="1229">
        <f>SUM(H24:I28)</f>
        <v>12</v>
      </c>
      <c r="I29" s="1230"/>
      <c r="J29" s="1229">
        <f>SUM(J24:L28)</f>
        <v>59</v>
      </c>
      <c r="K29" s="1230"/>
      <c r="L29" s="1231"/>
      <c r="M29" s="79">
        <f>SUM(M24:O28)</f>
        <v>817</v>
      </c>
    </row>
    <row r="30" spans="5:6" ht="11.25" customHeight="1">
      <c r="E30" s="80"/>
      <c r="F30" s="80"/>
    </row>
    <row r="31" spans="1:4" ht="17.25" customHeight="1">
      <c r="A31" s="81" t="s">
        <v>44</v>
      </c>
      <c r="B31" s="81"/>
      <c r="C31" s="81"/>
      <c r="D31" s="81"/>
    </row>
    <row r="32" ht="16.5" customHeight="1">
      <c r="A32" s="82" t="s">
        <v>428</v>
      </c>
    </row>
    <row r="33" ht="18">
      <c r="A33" s="83"/>
    </row>
  </sheetData>
  <mergeCells count="70">
    <mergeCell ref="A3:C5"/>
    <mergeCell ref="D3:M3"/>
    <mergeCell ref="D4:D5"/>
    <mergeCell ref="E4:G5"/>
    <mergeCell ref="H4:I5"/>
    <mergeCell ref="J4:L4"/>
    <mergeCell ref="M4:M5"/>
    <mergeCell ref="J5:L5"/>
    <mergeCell ref="E6:G6"/>
    <mergeCell ref="H6:I6"/>
    <mergeCell ref="J6:L6"/>
    <mergeCell ref="E7:G7"/>
    <mergeCell ref="H7:I7"/>
    <mergeCell ref="J7:L7"/>
    <mergeCell ref="E8:G8"/>
    <mergeCell ref="H8:I8"/>
    <mergeCell ref="J8:L8"/>
    <mergeCell ref="E9:G9"/>
    <mergeCell ref="H9:I9"/>
    <mergeCell ref="J9:L9"/>
    <mergeCell ref="E10:G10"/>
    <mergeCell ref="H10:I10"/>
    <mergeCell ref="J10:L10"/>
    <mergeCell ref="E11:G11"/>
    <mergeCell ref="H11:I11"/>
    <mergeCell ref="J11:L11"/>
    <mergeCell ref="E12:G12"/>
    <mergeCell ref="H12:I12"/>
    <mergeCell ref="J12:L12"/>
    <mergeCell ref="E13:G13"/>
    <mergeCell ref="H13:I13"/>
    <mergeCell ref="J13:L13"/>
    <mergeCell ref="E14:G14"/>
    <mergeCell ref="H14:I14"/>
    <mergeCell ref="J14:L14"/>
    <mergeCell ref="E15:G15"/>
    <mergeCell ref="H15:I15"/>
    <mergeCell ref="J15:L15"/>
    <mergeCell ref="E16:G16"/>
    <mergeCell ref="H16:I16"/>
    <mergeCell ref="J16:L16"/>
    <mergeCell ref="E17:G17"/>
    <mergeCell ref="H17:I17"/>
    <mergeCell ref="J17:L17"/>
    <mergeCell ref="A21:C23"/>
    <mergeCell ref="D21:M21"/>
    <mergeCell ref="D22:D23"/>
    <mergeCell ref="E22:G23"/>
    <mergeCell ref="H22:I23"/>
    <mergeCell ref="J22:L22"/>
    <mergeCell ref="M22:M23"/>
    <mergeCell ref="J23:L23"/>
    <mergeCell ref="E24:G24"/>
    <mergeCell ref="H24:I24"/>
    <mergeCell ref="J24:L24"/>
    <mergeCell ref="E25:G25"/>
    <mergeCell ref="H25:I25"/>
    <mergeCell ref="J25:L25"/>
    <mergeCell ref="E26:G26"/>
    <mergeCell ref="H26:I26"/>
    <mergeCell ref="J26:L26"/>
    <mergeCell ref="E27:G27"/>
    <mergeCell ref="H27:I27"/>
    <mergeCell ref="J27:L27"/>
    <mergeCell ref="E28:G28"/>
    <mergeCell ref="H28:I28"/>
    <mergeCell ref="J28:L28"/>
    <mergeCell ref="E29:G29"/>
    <mergeCell ref="H29:I29"/>
    <mergeCell ref="J29:L29"/>
  </mergeCells>
  <printOptions/>
  <pageMargins left="0.88" right="0.3" top="1" bottom="0.5" header="0.5" footer="0.5"/>
  <pageSetup horizontalDpi="300" verticalDpi="300" orientation="portrait" paperSize="9" r:id="rId2"/>
  <headerFooter alignWithMargins="0">
    <oddHeader>&amp;C- 9 -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9">
      <selection activeCell="A2" sqref="A2"/>
    </sheetView>
  </sheetViews>
  <sheetFormatPr defaultColWidth="9.140625" defaultRowHeight="12.75"/>
  <cols>
    <col min="1" max="1" width="33.00390625" style="54" customWidth="1"/>
    <col min="2" max="7" width="9.57421875" style="54" customWidth="1"/>
    <col min="8" max="8" width="4.00390625" style="54" customWidth="1"/>
    <col min="9" max="16384" width="9.140625" style="54" customWidth="1"/>
  </cols>
  <sheetData>
    <row r="1" ht="24.75" customHeight="1">
      <c r="A1" s="2" t="s">
        <v>439</v>
      </c>
    </row>
    <row r="2" ht="16.5" customHeight="1"/>
    <row r="3" spans="1:7" ht="18" customHeight="1">
      <c r="A3" s="1273" t="s">
        <v>17</v>
      </c>
      <c r="B3" s="84" t="s">
        <v>45</v>
      </c>
      <c r="C3" s="84"/>
      <c r="D3" s="84"/>
      <c r="E3" s="85" t="s">
        <v>46</v>
      </c>
      <c r="F3" s="84"/>
      <c r="G3" s="86"/>
    </row>
    <row r="4" spans="1:7" ht="30" customHeight="1">
      <c r="A4" s="1274"/>
      <c r="B4" s="72" t="s">
        <v>47</v>
      </c>
      <c r="C4" s="72" t="s">
        <v>48</v>
      </c>
      <c r="D4" s="71" t="s">
        <v>5</v>
      </c>
      <c r="E4" s="73" t="s">
        <v>49</v>
      </c>
      <c r="F4" s="87" t="s">
        <v>50</v>
      </c>
      <c r="G4" s="72" t="s">
        <v>5</v>
      </c>
    </row>
    <row r="5" spans="1:7" s="2" customFormat="1" ht="24" customHeight="1">
      <c r="A5" s="88" t="s">
        <v>22</v>
      </c>
      <c r="B5" s="89">
        <v>2677</v>
      </c>
      <c r="C5" s="89">
        <v>2573</v>
      </c>
      <c r="D5" s="90">
        <f>B5+C5</f>
        <v>5250</v>
      </c>
      <c r="E5" s="91">
        <v>348</v>
      </c>
      <c r="F5" s="91">
        <v>147</v>
      </c>
      <c r="G5" s="89">
        <f>E5+F5</f>
        <v>495</v>
      </c>
    </row>
    <row r="6" spans="1:7" s="2" customFormat="1" ht="24" customHeight="1">
      <c r="A6" s="88" t="s">
        <v>23</v>
      </c>
      <c r="B6" s="89">
        <v>1845</v>
      </c>
      <c r="C6" s="89">
        <v>1876</v>
      </c>
      <c r="D6" s="90">
        <f aca="true" t="shared" si="0" ref="D6:D13">B6+C6</f>
        <v>3721</v>
      </c>
      <c r="E6" s="91">
        <v>252</v>
      </c>
      <c r="F6" s="91">
        <v>99</v>
      </c>
      <c r="G6" s="89">
        <f aca="true" t="shared" si="1" ref="G6:G16">E6+F6</f>
        <v>351</v>
      </c>
    </row>
    <row r="7" spans="1:7" s="2" customFormat="1" ht="24" customHeight="1">
      <c r="A7" s="88" t="s">
        <v>51</v>
      </c>
      <c r="B7" s="92">
        <v>1767</v>
      </c>
      <c r="C7" s="92">
        <v>1592</v>
      </c>
      <c r="D7" s="93">
        <f t="shared" si="0"/>
        <v>3359</v>
      </c>
      <c r="E7" s="58">
        <v>224</v>
      </c>
      <c r="F7" s="58">
        <v>65</v>
      </c>
      <c r="G7" s="92">
        <f t="shared" si="1"/>
        <v>289</v>
      </c>
    </row>
    <row r="8" spans="1:7" s="2" customFormat="1" ht="24" customHeight="1">
      <c r="A8" s="88" t="s">
        <v>25</v>
      </c>
      <c r="B8" s="89">
        <v>2116</v>
      </c>
      <c r="C8" s="89">
        <v>2020</v>
      </c>
      <c r="D8" s="90">
        <f t="shared" si="0"/>
        <v>4136</v>
      </c>
      <c r="E8" s="91">
        <v>270</v>
      </c>
      <c r="F8" s="91">
        <v>93</v>
      </c>
      <c r="G8" s="89">
        <f t="shared" si="1"/>
        <v>363</v>
      </c>
    </row>
    <row r="9" spans="1:7" s="2" customFormat="1" ht="24" customHeight="1">
      <c r="A9" s="88" t="s">
        <v>26</v>
      </c>
      <c r="B9" s="89">
        <v>1572</v>
      </c>
      <c r="C9" s="89">
        <v>1580</v>
      </c>
      <c r="D9" s="90">
        <f t="shared" si="0"/>
        <v>3152</v>
      </c>
      <c r="E9" s="91">
        <v>209</v>
      </c>
      <c r="F9" s="91">
        <v>54</v>
      </c>
      <c r="G9" s="89">
        <f t="shared" si="1"/>
        <v>263</v>
      </c>
    </row>
    <row r="10" spans="1:7" s="2" customFormat="1" ht="24" customHeight="1">
      <c r="A10" s="88" t="s">
        <v>27</v>
      </c>
      <c r="B10" s="89">
        <v>1028</v>
      </c>
      <c r="C10" s="89">
        <v>961</v>
      </c>
      <c r="D10" s="90">
        <f t="shared" si="0"/>
        <v>1989</v>
      </c>
      <c r="E10" s="91">
        <v>123</v>
      </c>
      <c r="F10" s="91">
        <v>29</v>
      </c>
      <c r="G10" s="89">
        <f t="shared" si="1"/>
        <v>152</v>
      </c>
    </row>
    <row r="11" spans="1:7" s="2" customFormat="1" ht="24" customHeight="1">
      <c r="A11" s="88" t="s">
        <v>28</v>
      </c>
      <c r="B11" s="89">
        <v>4987</v>
      </c>
      <c r="C11" s="89">
        <v>5055</v>
      </c>
      <c r="D11" s="90">
        <f t="shared" si="0"/>
        <v>10042</v>
      </c>
      <c r="E11" s="91">
        <v>811</v>
      </c>
      <c r="F11" s="91">
        <v>340</v>
      </c>
      <c r="G11" s="89">
        <f t="shared" si="1"/>
        <v>1151</v>
      </c>
    </row>
    <row r="12" spans="1:7" s="2" customFormat="1" ht="24" customHeight="1">
      <c r="A12" s="88" t="s">
        <v>29</v>
      </c>
      <c r="B12" s="92">
        <v>852</v>
      </c>
      <c r="C12" s="92">
        <v>851</v>
      </c>
      <c r="D12" s="93">
        <f t="shared" si="0"/>
        <v>1703</v>
      </c>
      <c r="E12" s="58">
        <v>111</v>
      </c>
      <c r="F12" s="58">
        <v>48</v>
      </c>
      <c r="G12" s="92">
        <f t="shared" si="1"/>
        <v>159</v>
      </c>
    </row>
    <row r="13" spans="1:7" s="2" customFormat="1" ht="24" customHeight="1">
      <c r="A13" s="88" t="s">
        <v>30</v>
      </c>
      <c r="B13" s="92">
        <v>714</v>
      </c>
      <c r="C13" s="92">
        <v>769</v>
      </c>
      <c r="D13" s="93">
        <f t="shared" si="0"/>
        <v>1483</v>
      </c>
      <c r="E13" s="58">
        <v>120</v>
      </c>
      <c r="F13" s="58">
        <v>40</v>
      </c>
      <c r="G13" s="66">
        <f t="shared" si="1"/>
        <v>160</v>
      </c>
    </row>
    <row r="14" spans="1:7" s="2" customFormat="1" ht="24" customHeight="1">
      <c r="A14" s="94" t="s">
        <v>52</v>
      </c>
      <c r="B14" s="95">
        <f>SUM(B5:B13)</f>
        <v>17558</v>
      </c>
      <c r="C14" s="95">
        <f>SUM(C5:C13)</f>
        <v>17277</v>
      </c>
      <c r="D14" s="96">
        <f>SUM(D5:D13)</f>
        <v>34835</v>
      </c>
      <c r="E14" s="63">
        <f>SUM(E5:E13)</f>
        <v>2468</v>
      </c>
      <c r="F14" s="95">
        <f>SUM(F5:F13)</f>
        <v>915</v>
      </c>
      <c r="G14" s="92">
        <f t="shared" si="1"/>
        <v>3383</v>
      </c>
    </row>
    <row r="15" spans="1:7" s="2" customFormat="1" ht="24" customHeight="1">
      <c r="A15" s="88" t="s">
        <v>53</v>
      </c>
      <c r="B15" s="92">
        <v>705</v>
      </c>
      <c r="C15" s="92">
        <v>702</v>
      </c>
      <c r="D15" s="93">
        <f>B15+C15</f>
        <v>1407</v>
      </c>
      <c r="E15" s="58">
        <v>73</v>
      </c>
      <c r="F15" s="92">
        <v>4</v>
      </c>
      <c r="G15" s="92">
        <f t="shared" si="1"/>
        <v>77</v>
      </c>
    </row>
    <row r="16" spans="1:7" s="2" customFormat="1" ht="24" customHeight="1">
      <c r="A16" s="97" t="s">
        <v>54</v>
      </c>
      <c r="B16" s="98">
        <f>SUM(B14:B15)</f>
        <v>18263</v>
      </c>
      <c r="C16" s="98">
        <f>SUM(C14:C15)</f>
        <v>17979</v>
      </c>
      <c r="D16" s="99">
        <f>SUM(D14:D15)</f>
        <v>36242</v>
      </c>
      <c r="E16" s="68">
        <f>SUM(E14:E15)</f>
        <v>2541</v>
      </c>
      <c r="F16" s="99">
        <f>SUM(F14:F15)</f>
        <v>919</v>
      </c>
      <c r="G16" s="68">
        <f t="shared" si="1"/>
        <v>3460</v>
      </c>
    </row>
    <row r="17" s="2" customFormat="1" ht="14.25" customHeight="1"/>
    <row r="18" s="2" customFormat="1" ht="19.5" customHeight="1">
      <c r="A18" s="2" t="s">
        <v>417</v>
      </c>
    </row>
    <row r="19" s="2" customFormat="1" ht="15.75" customHeight="1"/>
    <row r="20" spans="1:7" s="2" customFormat="1" ht="18" customHeight="1">
      <c r="A20" s="1273" t="s">
        <v>34</v>
      </c>
      <c r="B20" s="84" t="s">
        <v>45</v>
      </c>
      <c r="C20" s="84"/>
      <c r="D20" s="84"/>
      <c r="E20" s="85" t="s">
        <v>46</v>
      </c>
      <c r="F20" s="84"/>
      <c r="G20" s="86"/>
    </row>
    <row r="21" spans="1:7" s="2" customFormat="1" ht="27.75" customHeight="1">
      <c r="A21" s="1328"/>
      <c r="B21" s="72" t="s">
        <v>47</v>
      </c>
      <c r="C21" s="72" t="s">
        <v>48</v>
      </c>
      <c r="D21" s="71" t="s">
        <v>5</v>
      </c>
      <c r="E21" s="73" t="s">
        <v>49</v>
      </c>
      <c r="F21" s="87" t="s">
        <v>50</v>
      </c>
      <c r="G21" s="72" t="s">
        <v>5</v>
      </c>
    </row>
    <row r="22" spans="1:7" s="2" customFormat="1" ht="29.25" customHeight="1">
      <c r="A22" s="88" t="s">
        <v>35</v>
      </c>
      <c r="B22" s="89">
        <v>6315</v>
      </c>
      <c r="C22" s="89">
        <v>6065</v>
      </c>
      <c r="D22" s="90">
        <f>B22+C22</f>
        <v>12380</v>
      </c>
      <c r="E22" s="91">
        <v>828</v>
      </c>
      <c r="F22" s="91">
        <v>312</v>
      </c>
      <c r="G22" s="89">
        <f aca="true" t="shared" si="2" ref="G22:G27">E22+F22</f>
        <v>1140</v>
      </c>
    </row>
    <row r="23" spans="1:7" s="2" customFormat="1" ht="29.25" customHeight="1">
      <c r="A23" s="88" t="s">
        <v>36</v>
      </c>
      <c r="B23" s="89">
        <v>4404</v>
      </c>
      <c r="C23" s="89">
        <v>4339</v>
      </c>
      <c r="D23" s="90">
        <f>B23+C23</f>
        <v>8743</v>
      </c>
      <c r="E23" s="91">
        <v>615</v>
      </c>
      <c r="F23" s="91">
        <v>240</v>
      </c>
      <c r="G23" s="89">
        <f t="shared" si="2"/>
        <v>855</v>
      </c>
    </row>
    <row r="24" spans="1:7" s="2" customFormat="1" ht="29.25" customHeight="1">
      <c r="A24" s="88" t="s">
        <v>37</v>
      </c>
      <c r="B24" s="92">
        <v>3740</v>
      </c>
      <c r="C24" s="92">
        <v>3697</v>
      </c>
      <c r="D24" s="93">
        <f>B24+C24</f>
        <v>7437</v>
      </c>
      <c r="E24" s="58">
        <v>503</v>
      </c>
      <c r="F24" s="58">
        <v>148</v>
      </c>
      <c r="G24" s="92">
        <f t="shared" si="2"/>
        <v>651</v>
      </c>
    </row>
    <row r="25" spans="1:7" s="2" customFormat="1" ht="29.25" customHeight="1">
      <c r="A25" s="100" t="s">
        <v>55</v>
      </c>
      <c r="B25" s="92">
        <v>3099</v>
      </c>
      <c r="C25" s="92">
        <v>3176</v>
      </c>
      <c r="D25" s="93">
        <f>B25+C25</f>
        <v>6275</v>
      </c>
      <c r="E25" s="58">
        <v>522</v>
      </c>
      <c r="F25" s="58">
        <v>215</v>
      </c>
      <c r="G25" s="92">
        <f t="shared" si="2"/>
        <v>737</v>
      </c>
    </row>
    <row r="26" spans="1:7" s="2" customFormat="1" ht="29.25" customHeight="1">
      <c r="A26" s="88" t="s">
        <v>39</v>
      </c>
      <c r="B26" s="92">
        <v>705</v>
      </c>
      <c r="C26" s="92">
        <v>702</v>
      </c>
      <c r="D26" s="93">
        <f>B26+C26</f>
        <v>1407</v>
      </c>
      <c r="E26" s="58">
        <v>73</v>
      </c>
      <c r="F26" s="58">
        <v>4</v>
      </c>
      <c r="G26" s="92">
        <f t="shared" si="2"/>
        <v>77</v>
      </c>
    </row>
    <row r="27" spans="1:7" s="2" customFormat="1" ht="29.25" customHeight="1">
      <c r="A27" s="97" t="s">
        <v>56</v>
      </c>
      <c r="B27" s="98">
        <f>SUM(B22:B26)</f>
        <v>18263</v>
      </c>
      <c r="C27" s="98">
        <f>SUM(C22:C26)</f>
        <v>17979</v>
      </c>
      <c r="D27" s="98">
        <f>SUM(D22:D26)</f>
        <v>36242</v>
      </c>
      <c r="E27" s="98">
        <f>SUM(E22:E26)</f>
        <v>2541</v>
      </c>
      <c r="F27" s="99">
        <f>SUM(F22:F26)</f>
        <v>919</v>
      </c>
      <c r="G27" s="68">
        <f t="shared" si="2"/>
        <v>3460</v>
      </c>
    </row>
    <row r="28" ht="15.75">
      <c r="A28" s="82"/>
    </row>
  </sheetData>
  <mergeCells count="2">
    <mergeCell ref="A3:A4"/>
    <mergeCell ref="A20:A21"/>
  </mergeCells>
  <printOptions/>
  <pageMargins left="0.88" right="0.27" top="1" bottom="0.75" header="0.5" footer="0.5"/>
  <pageSetup horizontalDpi="300" verticalDpi="300" orientation="portrait" paperSize="9" r:id="rId1"/>
  <headerFooter alignWithMargins="0">
    <oddHeader>&amp;C- 10 -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2.75"/>
  <cols>
    <col min="1" max="1" width="33.57421875" style="102" customWidth="1"/>
    <col min="2" max="8" width="8.00390625" style="102" customWidth="1"/>
    <col min="9" max="9" width="10.8515625" style="102" customWidth="1"/>
    <col min="10" max="10" width="4.8515625" style="102" customWidth="1"/>
    <col min="11" max="16384" width="9.140625" style="102" customWidth="1"/>
  </cols>
  <sheetData>
    <row r="1" spans="1:7" ht="25.5" customHeight="1">
      <c r="A1" s="101" t="s">
        <v>415</v>
      </c>
      <c r="B1" s="101"/>
      <c r="C1" s="101"/>
      <c r="D1" s="101"/>
      <c r="E1" s="101"/>
      <c r="F1" s="101"/>
      <c r="G1" s="101"/>
    </row>
    <row r="2" ht="16.5" customHeight="1"/>
    <row r="3" spans="1:8" s="106" customFormat="1" ht="18" customHeight="1">
      <c r="A3" s="1329" t="s">
        <v>17</v>
      </c>
      <c r="B3" s="1332" t="s">
        <v>5</v>
      </c>
      <c r="C3" s="103" t="s">
        <v>57</v>
      </c>
      <c r="D3" s="104"/>
      <c r="E3" s="104"/>
      <c r="F3" s="104"/>
      <c r="G3" s="104"/>
      <c r="H3" s="105"/>
    </row>
    <row r="4" spans="1:8" s="106" customFormat="1" ht="18" customHeight="1">
      <c r="A4" s="1330"/>
      <c r="B4" s="1333"/>
      <c r="C4" s="1329" t="s">
        <v>58</v>
      </c>
      <c r="D4" s="1335"/>
      <c r="E4" s="107" t="s">
        <v>59</v>
      </c>
      <c r="F4" s="104"/>
      <c r="G4" s="104"/>
      <c r="H4" s="105"/>
    </row>
    <row r="5" spans="1:8" s="106" customFormat="1" ht="18" customHeight="1">
      <c r="A5" s="1330"/>
      <c r="B5" s="1333"/>
      <c r="C5" s="1331"/>
      <c r="D5" s="1336"/>
      <c r="E5" s="109" t="s">
        <v>60</v>
      </c>
      <c r="F5" s="110"/>
      <c r="G5" s="109" t="s">
        <v>61</v>
      </c>
      <c r="H5" s="110"/>
    </row>
    <row r="6" spans="1:8" s="106" customFormat="1" ht="18" customHeight="1">
      <c r="A6" s="1331"/>
      <c r="B6" s="1334"/>
      <c r="C6" s="111" t="s">
        <v>62</v>
      </c>
      <c r="D6" s="108" t="s">
        <v>7</v>
      </c>
      <c r="E6" s="112" t="s">
        <v>62</v>
      </c>
      <c r="F6" s="113" t="s">
        <v>7</v>
      </c>
      <c r="G6" s="114" t="s">
        <v>62</v>
      </c>
      <c r="H6" s="108" t="s">
        <v>7</v>
      </c>
    </row>
    <row r="7" spans="1:9" s="106" customFormat="1" ht="29.25" customHeight="1">
      <c r="A7" s="115" t="s">
        <v>63</v>
      </c>
      <c r="B7" s="116">
        <f>SUM(C7,E7,G7)</f>
        <v>35</v>
      </c>
      <c r="C7" s="117">
        <v>25</v>
      </c>
      <c r="D7" s="1014">
        <f aca="true" t="shared" si="0" ref="D7:D18">(C7/B7)*100</f>
        <v>71.42857142857143</v>
      </c>
      <c r="E7" s="118">
        <v>8</v>
      </c>
      <c r="F7" s="1014">
        <f>(E7/B7)*100</f>
        <v>22.857142857142858</v>
      </c>
      <c r="G7" s="119">
        <v>2</v>
      </c>
      <c r="H7" s="1018">
        <f>(G7/B7)*100</f>
        <v>5.714285714285714</v>
      </c>
      <c r="I7" s="120"/>
    </row>
    <row r="8" spans="1:9" s="106" customFormat="1" ht="29.25" customHeight="1">
      <c r="A8" s="115" t="s">
        <v>64</v>
      </c>
      <c r="B8" s="116">
        <f aca="true" t="shared" si="1" ref="B8:B18">SUM(C8,E8,G8)</f>
        <v>28</v>
      </c>
      <c r="C8" s="117">
        <v>23</v>
      </c>
      <c r="D8" s="1014">
        <f t="shared" si="0"/>
        <v>82.14285714285714</v>
      </c>
      <c r="E8" s="121" t="s">
        <v>40</v>
      </c>
      <c r="F8" s="122" t="s">
        <v>65</v>
      </c>
      <c r="G8" s="119">
        <v>5</v>
      </c>
      <c r="H8" s="1018">
        <f aca="true" t="shared" si="2" ref="H8:H18">(G8/B8)*100</f>
        <v>17.857142857142858</v>
      </c>
      <c r="I8" s="120"/>
    </row>
    <row r="9" spans="1:9" s="106" customFormat="1" ht="29.25" customHeight="1">
      <c r="A9" s="115" t="s">
        <v>66</v>
      </c>
      <c r="B9" s="116">
        <f t="shared" si="1"/>
        <v>27</v>
      </c>
      <c r="C9" s="117">
        <v>22</v>
      </c>
      <c r="D9" s="1014">
        <v>82</v>
      </c>
      <c r="E9" s="118">
        <v>3</v>
      </c>
      <c r="F9" s="1014">
        <f aca="true" t="shared" si="3" ref="F9:F17">(E9/B9)*100</f>
        <v>11.11111111111111</v>
      </c>
      <c r="G9" s="119">
        <v>2</v>
      </c>
      <c r="H9" s="1018">
        <f t="shared" si="2"/>
        <v>7.4074074074074066</v>
      </c>
      <c r="I9" s="120"/>
    </row>
    <row r="10" spans="1:9" s="106" customFormat="1" ht="29.25" customHeight="1">
      <c r="A10" s="115" t="s">
        <v>67</v>
      </c>
      <c r="B10" s="116">
        <f t="shared" si="1"/>
        <v>36</v>
      </c>
      <c r="C10" s="117">
        <v>27</v>
      </c>
      <c r="D10" s="1014">
        <f t="shared" si="0"/>
        <v>75</v>
      </c>
      <c r="E10" s="118">
        <v>9</v>
      </c>
      <c r="F10" s="1014">
        <f t="shared" si="3"/>
        <v>25</v>
      </c>
      <c r="G10" s="121" t="s">
        <v>65</v>
      </c>
      <c r="H10" s="122" t="s">
        <v>65</v>
      </c>
      <c r="I10" s="120"/>
    </row>
    <row r="11" spans="1:9" s="106" customFormat="1" ht="29.25" customHeight="1">
      <c r="A11" s="115" t="s">
        <v>68</v>
      </c>
      <c r="B11" s="116">
        <f t="shared" si="1"/>
        <v>30</v>
      </c>
      <c r="C11" s="117">
        <v>25</v>
      </c>
      <c r="D11" s="1014">
        <f t="shared" si="0"/>
        <v>83.33333333333334</v>
      </c>
      <c r="E11" s="118">
        <v>5</v>
      </c>
      <c r="F11" s="1014">
        <f t="shared" si="3"/>
        <v>16.666666666666664</v>
      </c>
      <c r="G11" s="121" t="s">
        <v>65</v>
      </c>
      <c r="H11" s="122" t="s">
        <v>65</v>
      </c>
      <c r="I11" s="120"/>
    </row>
    <row r="12" spans="1:9" s="106" customFormat="1" ht="29.25" customHeight="1">
      <c r="A12" s="115" t="s">
        <v>69</v>
      </c>
      <c r="B12" s="116">
        <f t="shared" si="1"/>
        <v>17</v>
      </c>
      <c r="C12" s="117">
        <v>14</v>
      </c>
      <c r="D12" s="1014">
        <v>82.3</v>
      </c>
      <c r="E12" s="118">
        <v>3</v>
      </c>
      <c r="F12" s="1014">
        <v>17.7</v>
      </c>
      <c r="G12" s="121" t="s">
        <v>65</v>
      </c>
      <c r="H12" s="122" t="s">
        <v>65</v>
      </c>
      <c r="I12" s="120"/>
    </row>
    <row r="13" spans="1:9" s="106" customFormat="1" ht="29.25" customHeight="1">
      <c r="A13" s="115" t="s">
        <v>70</v>
      </c>
      <c r="B13" s="116">
        <f t="shared" si="1"/>
        <v>72</v>
      </c>
      <c r="C13" s="117">
        <v>44</v>
      </c>
      <c r="D13" s="1014">
        <f t="shared" si="0"/>
        <v>61.111111111111114</v>
      </c>
      <c r="E13" s="118">
        <v>13</v>
      </c>
      <c r="F13" s="1014">
        <f t="shared" si="3"/>
        <v>18.055555555555554</v>
      </c>
      <c r="G13" s="119">
        <v>15</v>
      </c>
      <c r="H13" s="1018">
        <v>20.8</v>
      </c>
      <c r="I13" s="120"/>
    </row>
    <row r="14" spans="1:9" s="106" customFormat="1" ht="29.25" customHeight="1">
      <c r="A14" s="115" t="s">
        <v>71</v>
      </c>
      <c r="B14" s="116">
        <f t="shared" si="1"/>
        <v>26</v>
      </c>
      <c r="C14" s="117">
        <v>20</v>
      </c>
      <c r="D14" s="1014">
        <f t="shared" si="0"/>
        <v>76.92307692307693</v>
      </c>
      <c r="E14" s="118">
        <v>4</v>
      </c>
      <c r="F14" s="1014">
        <f t="shared" si="3"/>
        <v>15.384615384615385</v>
      </c>
      <c r="G14" s="119">
        <v>2</v>
      </c>
      <c r="H14" s="1018">
        <f t="shared" si="2"/>
        <v>7.6923076923076925</v>
      </c>
      <c r="I14" s="120"/>
    </row>
    <row r="15" spans="1:9" s="106" customFormat="1" ht="29.25" customHeight="1">
      <c r="A15" s="115" t="s">
        <v>72</v>
      </c>
      <c r="B15" s="123">
        <f t="shared" si="1"/>
        <v>15</v>
      </c>
      <c r="C15" s="124">
        <v>11</v>
      </c>
      <c r="D15" s="1015">
        <f t="shared" si="0"/>
        <v>73.33333333333333</v>
      </c>
      <c r="E15" s="125">
        <v>3</v>
      </c>
      <c r="F15" s="1015">
        <f t="shared" si="3"/>
        <v>20</v>
      </c>
      <c r="G15" s="1000">
        <v>1</v>
      </c>
      <c r="H15" s="1019">
        <f t="shared" si="2"/>
        <v>6.666666666666667</v>
      </c>
      <c r="I15" s="120"/>
    </row>
    <row r="16" spans="1:9" s="106" customFormat="1" ht="29.25" customHeight="1">
      <c r="A16" s="128" t="s">
        <v>73</v>
      </c>
      <c r="B16" s="116">
        <f t="shared" si="1"/>
        <v>286</v>
      </c>
      <c r="C16" s="117">
        <f>SUM(C7:C15)</f>
        <v>211</v>
      </c>
      <c r="D16" s="1016">
        <f t="shared" si="0"/>
        <v>73.77622377622379</v>
      </c>
      <c r="E16" s="118">
        <f>SUM(E7:E15)</f>
        <v>48</v>
      </c>
      <c r="F16" s="1014">
        <f t="shared" si="3"/>
        <v>16.783216783216783</v>
      </c>
      <c r="G16" s="118">
        <f>SUM(G7:G15)</f>
        <v>27</v>
      </c>
      <c r="H16" s="1020">
        <f t="shared" si="2"/>
        <v>9.44055944055944</v>
      </c>
      <c r="I16" s="120"/>
    </row>
    <row r="17" spans="1:9" s="106" customFormat="1" ht="29.25" customHeight="1">
      <c r="A17" s="129" t="s">
        <v>74</v>
      </c>
      <c r="B17" s="116">
        <f t="shared" si="1"/>
        <v>13</v>
      </c>
      <c r="C17" s="117">
        <v>8</v>
      </c>
      <c r="D17" s="1015">
        <f t="shared" si="0"/>
        <v>61.53846153846154</v>
      </c>
      <c r="E17" s="118">
        <v>5</v>
      </c>
      <c r="F17" s="1014">
        <f t="shared" si="3"/>
        <v>38.46153846153847</v>
      </c>
      <c r="G17" s="121" t="s">
        <v>65</v>
      </c>
      <c r="H17" s="127" t="s">
        <v>65</v>
      </c>
      <c r="I17" s="120"/>
    </row>
    <row r="18" spans="1:9" s="106" customFormat="1" ht="29.25" customHeight="1">
      <c r="A18" s="129" t="s">
        <v>75</v>
      </c>
      <c r="B18" s="130">
        <f t="shared" si="1"/>
        <v>299</v>
      </c>
      <c r="C18" s="131">
        <f>SUM(C16+C17)</f>
        <v>219</v>
      </c>
      <c r="D18" s="1017">
        <f t="shared" si="0"/>
        <v>73.24414715719062</v>
      </c>
      <c r="E18" s="132">
        <f>SUM(E16+E17)</f>
        <v>53</v>
      </c>
      <c r="F18" s="1017">
        <v>17.8</v>
      </c>
      <c r="G18" s="132">
        <f>SUM(G16:G17)</f>
        <v>27</v>
      </c>
      <c r="H18" s="1021">
        <f t="shared" si="2"/>
        <v>9.03010033444816</v>
      </c>
      <c r="I18" s="120"/>
    </row>
    <row r="19" ht="21.75" customHeight="1"/>
    <row r="20" ht="15" customHeight="1">
      <c r="A20" s="101" t="s">
        <v>416</v>
      </c>
    </row>
    <row r="21" ht="16.5" customHeight="1"/>
    <row r="22" spans="1:8" s="106" customFormat="1" ht="18" customHeight="1">
      <c r="A22" s="1332" t="s">
        <v>34</v>
      </c>
      <c r="B22" s="1332" t="s">
        <v>5</v>
      </c>
      <c r="C22" s="103" t="s">
        <v>57</v>
      </c>
      <c r="D22" s="104"/>
      <c r="E22" s="104"/>
      <c r="F22" s="104"/>
      <c r="G22" s="104"/>
      <c r="H22" s="105"/>
    </row>
    <row r="23" spans="1:8" s="106" customFormat="1" ht="16.5" customHeight="1">
      <c r="A23" s="1337"/>
      <c r="B23" s="1333"/>
      <c r="C23" s="1329" t="s">
        <v>58</v>
      </c>
      <c r="D23" s="1335"/>
      <c r="E23" s="107" t="s">
        <v>59</v>
      </c>
      <c r="F23" s="104"/>
      <c r="G23" s="104"/>
      <c r="H23" s="105"/>
    </row>
    <row r="24" spans="1:8" s="106" customFormat="1" ht="16.5" customHeight="1">
      <c r="A24" s="1337"/>
      <c r="B24" s="1333"/>
      <c r="C24" s="1331"/>
      <c r="D24" s="1336"/>
      <c r="E24" s="109" t="s">
        <v>60</v>
      </c>
      <c r="F24" s="110"/>
      <c r="G24" s="109" t="s">
        <v>61</v>
      </c>
      <c r="H24" s="110"/>
    </row>
    <row r="25" spans="1:8" s="106" customFormat="1" ht="16.5" customHeight="1">
      <c r="A25" s="1338"/>
      <c r="B25" s="1334"/>
      <c r="C25" s="111" t="s">
        <v>62</v>
      </c>
      <c r="D25" s="108" t="s">
        <v>7</v>
      </c>
      <c r="E25" s="112" t="s">
        <v>62</v>
      </c>
      <c r="F25" s="113" t="s">
        <v>7</v>
      </c>
      <c r="G25" s="133" t="s">
        <v>62</v>
      </c>
      <c r="H25" s="108" t="s">
        <v>7</v>
      </c>
    </row>
    <row r="26" spans="1:9" s="106" customFormat="1" ht="30" customHeight="1">
      <c r="A26" s="115" t="s">
        <v>76</v>
      </c>
      <c r="B26" s="116">
        <f aca="true" t="shared" si="4" ref="B26:B31">SUM(C26,E26,G26)</f>
        <v>92</v>
      </c>
      <c r="C26" s="117">
        <v>72</v>
      </c>
      <c r="D26" s="1014">
        <v>78.2</v>
      </c>
      <c r="E26" s="118">
        <v>11</v>
      </c>
      <c r="F26" s="1014">
        <f>(E26/B26)*100</f>
        <v>11.956521739130435</v>
      </c>
      <c r="G26" s="134">
        <v>9</v>
      </c>
      <c r="H26" s="1018">
        <f>G26/B26*100</f>
        <v>9.782608695652174</v>
      </c>
      <c r="I26" s="120"/>
    </row>
    <row r="27" spans="1:9" s="106" customFormat="1" ht="30" customHeight="1">
      <c r="A27" s="115" t="s">
        <v>77</v>
      </c>
      <c r="B27" s="116">
        <f t="shared" si="4"/>
        <v>78</v>
      </c>
      <c r="C27" s="117">
        <v>58</v>
      </c>
      <c r="D27" s="1014">
        <f>(C27/B27)*100</f>
        <v>74.35897435897436</v>
      </c>
      <c r="E27" s="118">
        <v>17</v>
      </c>
      <c r="F27" s="1014">
        <f>(E27/B27)*100</f>
        <v>21.794871794871796</v>
      </c>
      <c r="G27" s="134">
        <v>3</v>
      </c>
      <c r="H27" s="1018">
        <f>G27/B27*100</f>
        <v>3.8461538461538463</v>
      </c>
      <c r="I27" s="120"/>
    </row>
    <row r="28" spans="1:9" s="106" customFormat="1" ht="30" customHeight="1">
      <c r="A28" s="115" t="s">
        <v>78</v>
      </c>
      <c r="B28" s="116">
        <f t="shared" si="4"/>
        <v>66</v>
      </c>
      <c r="C28" s="117">
        <v>48</v>
      </c>
      <c r="D28" s="1014">
        <f>(C28/B28)*100</f>
        <v>72.72727272727273</v>
      </c>
      <c r="E28" s="118">
        <v>12</v>
      </c>
      <c r="F28" s="1014">
        <v>18.2</v>
      </c>
      <c r="G28" s="134">
        <v>6</v>
      </c>
      <c r="H28" s="1018">
        <f>G28/B28*100</f>
        <v>9.090909090909092</v>
      </c>
      <c r="I28" s="120"/>
    </row>
    <row r="29" spans="1:9" s="106" customFormat="1" ht="30" customHeight="1">
      <c r="A29" s="115" t="s">
        <v>79</v>
      </c>
      <c r="B29" s="116">
        <f t="shared" si="4"/>
        <v>50</v>
      </c>
      <c r="C29" s="117">
        <v>33</v>
      </c>
      <c r="D29" s="1014">
        <f>(C29/B29)*100</f>
        <v>66</v>
      </c>
      <c r="E29" s="118">
        <v>8</v>
      </c>
      <c r="F29" s="1014">
        <f>(E29/B29)*100</f>
        <v>16</v>
      </c>
      <c r="G29" s="134">
        <v>9</v>
      </c>
      <c r="H29" s="1018">
        <f>(G29/B29)*100</f>
        <v>18</v>
      </c>
      <c r="I29" s="120"/>
    </row>
    <row r="30" spans="1:9" s="106" customFormat="1" ht="30" customHeight="1">
      <c r="A30" s="115" t="s">
        <v>39</v>
      </c>
      <c r="B30" s="116">
        <f t="shared" si="4"/>
        <v>13</v>
      </c>
      <c r="C30" s="117">
        <v>8</v>
      </c>
      <c r="D30" s="1014">
        <f>(C30/B30)*100</f>
        <v>61.53846153846154</v>
      </c>
      <c r="E30" s="118">
        <v>5</v>
      </c>
      <c r="F30" s="1014">
        <f>(E30/B30)*100</f>
        <v>38.46153846153847</v>
      </c>
      <c r="G30" s="126" t="s">
        <v>65</v>
      </c>
      <c r="H30" s="127" t="s">
        <v>65</v>
      </c>
      <c r="I30" s="120"/>
    </row>
    <row r="31" spans="1:9" s="106" customFormat="1" ht="24" customHeight="1">
      <c r="A31" s="135" t="s">
        <v>80</v>
      </c>
      <c r="B31" s="130">
        <f t="shared" si="4"/>
        <v>299</v>
      </c>
      <c r="C31" s="131">
        <f>SUM(C26:C30)</f>
        <v>219</v>
      </c>
      <c r="D31" s="1017">
        <f>(C31/B31)*100</f>
        <v>73.24414715719062</v>
      </c>
      <c r="E31" s="132">
        <f>SUM(E26:E30)</f>
        <v>53</v>
      </c>
      <c r="F31" s="1017">
        <v>17.8</v>
      </c>
      <c r="G31" s="136">
        <f>SUM(G26:G30)</f>
        <v>27</v>
      </c>
      <c r="H31" s="1022">
        <f>G31/B31*100</f>
        <v>9.03010033444816</v>
      </c>
      <c r="I31" s="120"/>
    </row>
    <row r="32" ht="17.25" customHeight="1">
      <c r="A32" s="102" t="s">
        <v>81</v>
      </c>
    </row>
    <row r="33" ht="12.75">
      <c r="A33" s="102" t="s">
        <v>298</v>
      </c>
    </row>
  </sheetData>
  <mergeCells count="6">
    <mergeCell ref="A3:A6"/>
    <mergeCell ref="B3:B6"/>
    <mergeCell ref="C4:D5"/>
    <mergeCell ref="B22:B25"/>
    <mergeCell ref="C23:D24"/>
    <mergeCell ref="A22:A25"/>
  </mergeCells>
  <printOptions/>
  <pageMargins left="0.77" right="0.37" top="0.54" bottom="0.26" header="0.31" footer="0.25"/>
  <pageSetup horizontalDpi="600" verticalDpi="600" orientation="portrait" paperSize="9" r:id="rId1"/>
  <headerFooter alignWithMargins="0">
    <oddHeader>&amp;C&amp;"Times New Roman,Regular"- 11 -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32"/>
  <sheetViews>
    <sheetView workbookViewId="0" topLeftCell="C1">
      <selection activeCell="N14" sqref="N14"/>
    </sheetView>
  </sheetViews>
  <sheetFormatPr defaultColWidth="9.140625" defaultRowHeight="12.75"/>
  <cols>
    <col min="1" max="1" width="32.00390625" style="141" customWidth="1"/>
    <col min="2" max="2" width="9.140625" style="142" customWidth="1"/>
    <col min="3" max="3" width="8.00390625" style="142" customWidth="1"/>
    <col min="4" max="4" width="8.140625" style="142" customWidth="1"/>
    <col min="5" max="5" width="8.00390625" style="142" customWidth="1"/>
    <col min="6" max="6" width="8.421875" style="142" customWidth="1"/>
    <col min="7" max="9" width="8.28125" style="142" customWidth="1"/>
    <col min="10" max="10" width="8.00390625" style="141" customWidth="1"/>
    <col min="11" max="13" width="7.140625" style="140" customWidth="1"/>
    <col min="14" max="14" width="8.28125" style="143" customWidth="1"/>
    <col min="15" max="39" width="9.140625" style="140" customWidth="1"/>
    <col min="40" max="16384" width="9.140625" style="141" customWidth="1"/>
  </cols>
  <sheetData>
    <row r="1" spans="1:39" s="137" customFormat="1" ht="21" customHeight="1">
      <c r="A1" s="137" t="s">
        <v>413</v>
      </c>
      <c r="B1" s="138"/>
      <c r="C1" s="138"/>
      <c r="D1" s="138"/>
      <c r="E1" s="138"/>
      <c r="F1" s="138"/>
      <c r="G1" s="1199">
        <v>2008</v>
      </c>
      <c r="H1" s="138"/>
      <c r="I1" s="138"/>
      <c r="K1" s="139"/>
      <c r="L1" s="139"/>
      <c r="M1" s="139"/>
      <c r="N1" s="140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ht="7.5" customHeight="1"/>
    <row r="3" spans="1:39" s="148" customFormat="1" ht="14.25" customHeight="1">
      <c r="A3" s="1339" t="s">
        <v>17</v>
      </c>
      <c r="B3" s="1342" t="s">
        <v>82</v>
      </c>
      <c r="C3" s="1343"/>
      <c r="D3" s="1344"/>
      <c r="E3" s="1342" t="s">
        <v>83</v>
      </c>
      <c r="F3" s="1343"/>
      <c r="G3" s="1344"/>
      <c r="H3" s="1348" t="s">
        <v>84</v>
      </c>
      <c r="I3" s="1349"/>
      <c r="J3" s="1349"/>
      <c r="K3" s="1349"/>
      <c r="L3" s="1349"/>
      <c r="M3" s="1350"/>
      <c r="N3" s="146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</row>
    <row r="4" spans="1:39" s="148" customFormat="1" ht="15" customHeight="1">
      <c r="A4" s="1340"/>
      <c r="B4" s="1345"/>
      <c r="C4" s="1346"/>
      <c r="D4" s="1347"/>
      <c r="E4" s="1345"/>
      <c r="F4" s="1346"/>
      <c r="G4" s="1347"/>
      <c r="H4" s="1348" t="s">
        <v>88</v>
      </c>
      <c r="I4" s="1349"/>
      <c r="J4" s="1350"/>
      <c r="K4" s="1348" t="s">
        <v>85</v>
      </c>
      <c r="L4" s="1349"/>
      <c r="M4" s="1350"/>
      <c r="N4" s="146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48" customFormat="1" ht="14.25" customHeight="1">
      <c r="A5" s="1341"/>
      <c r="B5" s="144" t="s">
        <v>5</v>
      </c>
      <c r="C5" s="149" t="s">
        <v>47</v>
      </c>
      <c r="D5" s="150" t="s">
        <v>48</v>
      </c>
      <c r="E5" s="144" t="s">
        <v>5</v>
      </c>
      <c r="F5" s="149" t="s">
        <v>47</v>
      </c>
      <c r="G5" s="145" t="s">
        <v>48</v>
      </c>
      <c r="H5" s="144" t="s">
        <v>5</v>
      </c>
      <c r="I5" s="149" t="s">
        <v>47</v>
      </c>
      <c r="J5" s="145" t="s">
        <v>48</v>
      </c>
      <c r="K5" s="144" t="s">
        <v>5</v>
      </c>
      <c r="L5" s="149" t="s">
        <v>47</v>
      </c>
      <c r="M5" s="145" t="s">
        <v>48</v>
      </c>
      <c r="N5" s="146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</row>
    <row r="6" spans="1:39" s="148" customFormat="1" ht="18.75" customHeight="1">
      <c r="A6" s="151" t="s">
        <v>63</v>
      </c>
      <c r="B6" s="152">
        <f>SUM(E6,H6,K6)</f>
        <v>16775</v>
      </c>
      <c r="C6" s="153">
        <f>SUM(F6,I6,L6)</f>
        <v>8438</v>
      </c>
      <c r="D6" s="154">
        <f>SUM(G6,J6,M6)</f>
        <v>8337</v>
      </c>
      <c r="E6" s="152">
        <f>F6+G6</f>
        <v>10663</v>
      </c>
      <c r="F6" s="155">
        <v>5356</v>
      </c>
      <c r="G6" s="154">
        <v>5307</v>
      </c>
      <c r="H6" s="152">
        <f>I6+J6</f>
        <v>5423</v>
      </c>
      <c r="I6" s="155">
        <v>2755</v>
      </c>
      <c r="J6" s="156">
        <v>2668</v>
      </c>
      <c r="K6" s="157">
        <f aca="true" t="shared" si="0" ref="K6:K17">L6+M6</f>
        <v>689</v>
      </c>
      <c r="L6" s="155">
        <v>327</v>
      </c>
      <c r="M6" s="158">
        <v>362</v>
      </c>
      <c r="N6" s="146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</row>
    <row r="7" spans="1:39" s="148" customFormat="1" ht="18.75" customHeight="1">
      <c r="A7" s="151" t="s">
        <v>64</v>
      </c>
      <c r="B7" s="152">
        <f aca="true" t="shared" si="1" ref="B7:B14">SUM(E7,H7,K7)</f>
        <v>10421</v>
      </c>
      <c r="C7" s="155">
        <f aca="true" t="shared" si="2" ref="C7:C14">SUM(F7,I7,L7)</f>
        <v>5351</v>
      </c>
      <c r="D7" s="154">
        <f aca="true" t="shared" si="3" ref="D7:D14">SUM(G7,J7,M7)</f>
        <v>5070</v>
      </c>
      <c r="E7" s="152">
        <f aca="true" t="shared" si="4" ref="E7:E17">F7+G7</f>
        <v>9528</v>
      </c>
      <c r="F7" s="155">
        <v>4849</v>
      </c>
      <c r="G7" s="154">
        <v>4679</v>
      </c>
      <c r="H7" s="159" t="s">
        <v>40</v>
      </c>
      <c r="I7" s="160" t="s">
        <v>40</v>
      </c>
      <c r="J7" s="160" t="s">
        <v>40</v>
      </c>
      <c r="K7" s="152">
        <f t="shared" si="0"/>
        <v>893</v>
      </c>
      <c r="L7" s="155">
        <v>502</v>
      </c>
      <c r="M7" s="156">
        <v>391</v>
      </c>
      <c r="N7" s="146"/>
      <c r="O7" s="147"/>
      <c r="P7" s="147"/>
      <c r="Q7" s="161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</row>
    <row r="8" spans="1:39" s="148" customFormat="1" ht="18.75" customHeight="1">
      <c r="A8" s="151" t="s">
        <v>66</v>
      </c>
      <c r="B8" s="152">
        <f t="shared" si="1"/>
        <v>10510</v>
      </c>
      <c r="C8" s="155">
        <f t="shared" si="2"/>
        <v>5432</v>
      </c>
      <c r="D8" s="154">
        <f t="shared" si="3"/>
        <v>5078</v>
      </c>
      <c r="E8" s="152">
        <f t="shared" si="4"/>
        <v>8845</v>
      </c>
      <c r="F8" s="155">
        <v>4592</v>
      </c>
      <c r="G8" s="154">
        <v>4253</v>
      </c>
      <c r="H8" s="152">
        <f aca="true" t="shared" si="5" ref="H8:H17">I8+J8</f>
        <v>974</v>
      </c>
      <c r="I8" s="155">
        <v>486</v>
      </c>
      <c r="J8" s="156">
        <v>488</v>
      </c>
      <c r="K8" s="157">
        <f t="shared" si="0"/>
        <v>691</v>
      </c>
      <c r="L8" s="155">
        <v>354</v>
      </c>
      <c r="M8" s="158">
        <v>337</v>
      </c>
      <c r="N8" s="146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1:39" s="148" customFormat="1" ht="18.75" customHeight="1">
      <c r="A9" s="151" t="s">
        <v>67</v>
      </c>
      <c r="B9" s="152">
        <f t="shared" si="1"/>
        <v>13948</v>
      </c>
      <c r="C9" s="155">
        <f t="shared" si="2"/>
        <v>7118</v>
      </c>
      <c r="D9" s="154">
        <f t="shared" si="3"/>
        <v>6830</v>
      </c>
      <c r="E9" s="152">
        <f t="shared" si="4"/>
        <v>12002</v>
      </c>
      <c r="F9" s="155">
        <v>6133</v>
      </c>
      <c r="G9" s="154">
        <v>5869</v>
      </c>
      <c r="H9" s="152">
        <f t="shared" si="5"/>
        <v>1946</v>
      </c>
      <c r="I9" s="155">
        <v>985</v>
      </c>
      <c r="J9" s="156">
        <v>961</v>
      </c>
      <c r="K9" s="159" t="s">
        <v>40</v>
      </c>
      <c r="L9" s="160" t="s">
        <v>40</v>
      </c>
      <c r="M9" s="162" t="s">
        <v>40</v>
      </c>
      <c r="N9" s="146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</row>
    <row r="10" spans="1:39" s="148" customFormat="1" ht="18.75" customHeight="1">
      <c r="A10" s="151" t="s">
        <v>68</v>
      </c>
      <c r="B10" s="152">
        <f t="shared" si="1"/>
        <v>10708</v>
      </c>
      <c r="C10" s="155">
        <f t="shared" si="2"/>
        <v>5470</v>
      </c>
      <c r="D10" s="154">
        <f t="shared" si="3"/>
        <v>5238</v>
      </c>
      <c r="E10" s="152">
        <f t="shared" si="4"/>
        <v>8797</v>
      </c>
      <c r="F10" s="155">
        <v>4534</v>
      </c>
      <c r="G10" s="154">
        <v>4263</v>
      </c>
      <c r="H10" s="152">
        <f t="shared" si="5"/>
        <v>1911</v>
      </c>
      <c r="I10" s="155">
        <v>936</v>
      </c>
      <c r="J10" s="156">
        <v>975</v>
      </c>
      <c r="K10" s="159" t="s">
        <v>40</v>
      </c>
      <c r="L10" s="160" t="s">
        <v>40</v>
      </c>
      <c r="M10" s="162" t="s">
        <v>40</v>
      </c>
      <c r="N10" s="146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148" customFormat="1" ht="18.75" customHeight="1">
      <c r="A11" s="151" t="s">
        <v>69</v>
      </c>
      <c r="B11" s="152">
        <f t="shared" si="1"/>
        <v>6237</v>
      </c>
      <c r="C11" s="155">
        <f t="shared" si="2"/>
        <v>3233</v>
      </c>
      <c r="D11" s="154">
        <f t="shared" si="3"/>
        <v>3004</v>
      </c>
      <c r="E11" s="152">
        <f t="shared" si="4"/>
        <v>5523</v>
      </c>
      <c r="F11" s="155">
        <v>2864</v>
      </c>
      <c r="G11" s="154">
        <v>2659</v>
      </c>
      <c r="H11" s="152">
        <f t="shared" si="5"/>
        <v>714</v>
      </c>
      <c r="I11" s="155">
        <v>369</v>
      </c>
      <c r="J11" s="156">
        <v>345</v>
      </c>
      <c r="K11" s="159" t="s">
        <v>40</v>
      </c>
      <c r="L11" s="160" t="s">
        <v>40</v>
      </c>
      <c r="M11" s="162" t="s">
        <v>40</v>
      </c>
      <c r="N11" s="146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148" customFormat="1" ht="18.75" customHeight="1">
      <c r="A12" s="151" t="s">
        <v>70</v>
      </c>
      <c r="B12" s="152">
        <f t="shared" si="1"/>
        <v>33381</v>
      </c>
      <c r="C12" s="155">
        <f t="shared" si="2"/>
        <v>16936</v>
      </c>
      <c r="D12" s="154">
        <f t="shared" si="3"/>
        <v>16445</v>
      </c>
      <c r="E12" s="152">
        <f t="shared" si="4"/>
        <v>19889</v>
      </c>
      <c r="F12" s="155">
        <v>10150</v>
      </c>
      <c r="G12" s="154">
        <v>9739</v>
      </c>
      <c r="H12" s="152">
        <f t="shared" si="5"/>
        <v>9559</v>
      </c>
      <c r="I12" s="155">
        <v>4837</v>
      </c>
      <c r="J12" s="156">
        <v>4722</v>
      </c>
      <c r="K12" s="152">
        <f t="shared" si="0"/>
        <v>3933</v>
      </c>
      <c r="L12" s="155">
        <v>1949</v>
      </c>
      <c r="M12" s="156">
        <v>1984</v>
      </c>
      <c r="N12" s="146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148" customFormat="1" ht="18.75" customHeight="1">
      <c r="A13" s="151" t="s">
        <v>71</v>
      </c>
      <c r="B13" s="152">
        <f t="shared" si="1"/>
        <v>7750</v>
      </c>
      <c r="C13" s="155">
        <f t="shared" si="2"/>
        <v>3932</v>
      </c>
      <c r="D13" s="154">
        <f t="shared" si="3"/>
        <v>3818</v>
      </c>
      <c r="E13" s="152">
        <f t="shared" si="4"/>
        <v>5871</v>
      </c>
      <c r="F13" s="155">
        <v>3022</v>
      </c>
      <c r="G13" s="154">
        <v>2849</v>
      </c>
      <c r="H13" s="152">
        <f t="shared" si="5"/>
        <v>1029</v>
      </c>
      <c r="I13" s="155">
        <v>465</v>
      </c>
      <c r="J13" s="156">
        <v>564</v>
      </c>
      <c r="K13" s="163">
        <f t="shared" si="0"/>
        <v>850</v>
      </c>
      <c r="L13" s="155">
        <v>445</v>
      </c>
      <c r="M13" s="158">
        <v>405</v>
      </c>
      <c r="N13" s="146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148" customFormat="1" ht="18.75" customHeight="1">
      <c r="A14" s="151" t="s">
        <v>72</v>
      </c>
      <c r="B14" s="152">
        <f t="shared" si="1"/>
        <v>4277</v>
      </c>
      <c r="C14" s="155">
        <f t="shared" si="2"/>
        <v>2218</v>
      </c>
      <c r="D14" s="154">
        <f t="shared" si="3"/>
        <v>2059</v>
      </c>
      <c r="E14" s="152">
        <f t="shared" si="4"/>
        <v>3451</v>
      </c>
      <c r="F14" s="155">
        <v>1797</v>
      </c>
      <c r="G14" s="154">
        <v>1654</v>
      </c>
      <c r="H14" s="152">
        <f t="shared" si="5"/>
        <v>629</v>
      </c>
      <c r="I14" s="155">
        <v>316</v>
      </c>
      <c r="J14" s="156">
        <v>313</v>
      </c>
      <c r="K14" s="164">
        <f t="shared" si="0"/>
        <v>197</v>
      </c>
      <c r="L14" s="165">
        <v>105</v>
      </c>
      <c r="M14" s="166">
        <v>92</v>
      </c>
      <c r="N14" s="146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148" customFormat="1" ht="20.25" customHeight="1">
      <c r="A15" s="167" t="s">
        <v>73</v>
      </c>
      <c r="B15" s="168">
        <f>E15+H15+K15</f>
        <v>114007</v>
      </c>
      <c r="C15" s="153">
        <f>F15+I15+L15</f>
        <v>58128</v>
      </c>
      <c r="D15" s="169">
        <f>G15+J15+M15</f>
        <v>55879</v>
      </c>
      <c r="E15" s="168">
        <f t="shared" si="4"/>
        <v>84569</v>
      </c>
      <c r="F15" s="153">
        <f>SUM(F6:F14)</f>
        <v>43297</v>
      </c>
      <c r="G15" s="169">
        <f>SUM(G6:G14)</f>
        <v>41272</v>
      </c>
      <c r="H15" s="168">
        <f t="shared" si="5"/>
        <v>22185</v>
      </c>
      <c r="I15" s="153">
        <f>SUM(I6:I14)</f>
        <v>11149</v>
      </c>
      <c r="J15" s="170">
        <f>SUM(J6:J14)</f>
        <v>11036</v>
      </c>
      <c r="K15" s="168">
        <f t="shared" si="0"/>
        <v>7253</v>
      </c>
      <c r="L15" s="153">
        <f>SUM(L6:L14)</f>
        <v>3682</v>
      </c>
      <c r="M15" s="170">
        <f>SUM(M6:M14)</f>
        <v>3571</v>
      </c>
      <c r="N15" s="146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148" customFormat="1" ht="20.25" customHeight="1">
      <c r="A16" s="151" t="s">
        <v>74</v>
      </c>
      <c r="B16" s="171">
        <f>SUM(E16,H16,K16)</f>
        <v>5015</v>
      </c>
      <c r="C16" s="172">
        <f>SUM(F16,I16,L16)</f>
        <v>2565</v>
      </c>
      <c r="D16" s="173">
        <f>SUM(G16,J16,M16)</f>
        <v>2450</v>
      </c>
      <c r="E16" s="171">
        <f t="shared" si="4"/>
        <v>2868</v>
      </c>
      <c r="F16" s="172">
        <v>1482</v>
      </c>
      <c r="G16" s="173">
        <v>1386</v>
      </c>
      <c r="H16" s="171">
        <f t="shared" si="5"/>
        <v>2147</v>
      </c>
      <c r="I16" s="172">
        <v>1083</v>
      </c>
      <c r="J16" s="175">
        <v>1064</v>
      </c>
      <c r="K16" s="159" t="s">
        <v>40</v>
      </c>
      <c r="L16" s="160" t="s">
        <v>40</v>
      </c>
      <c r="M16" s="162" t="s">
        <v>40</v>
      </c>
      <c r="N16" s="146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148" customFormat="1" ht="20.25" customHeight="1">
      <c r="A17" s="176" t="s">
        <v>75</v>
      </c>
      <c r="B17" s="177">
        <f>E17+H17+K17</f>
        <v>119022</v>
      </c>
      <c r="C17" s="178">
        <f>F17+I17+L17</f>
        <v>60693</v>
      </c>
      <c r="D17" s="179">
        <f>G17+J17+M17</f>
        <v>58329</v>
      </c>
      <c r="E17" s="177">
        <f t="shared" si="4"/>
        <v>87437</v>
      </c>
      <c r="F17" s="178">
        <f>F15+F16</f>
        <v>44779</v>
      </c>
      <c r="G17" s="180">
        <f>G15+G16</f>
        <v>42658</v>
      </c>
      <c r="H17" s="177">
        <f t="shared" si="5"/>
        <v>24332</v>
      </c>
      <c r="I17" s="178">
        <f>I15+I16</f>
        <v>12232</v>
      </c>
      <c r="J17" s="179">
        <f>J15+J16</f>
        <v>12100</v>
      </c>
      <c r="K17" s="177">
        <f t="shared" si="0"/>
        <v>7253</v>
      </c>
      <c r="L17" s="178">
        <f>SUM(L15:L16)</f>
        <v>3682</v>
      </c>
      <c r="M17" s="179">
        <f>SUM(M15:M16)</f>
        <v>3571</v>
      </c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2:39" s="148" customFormat="1" ht="15" customHeight="1">
      <c r="B18" s="142"/>
      <c r="C18" s="142"/>
      <c r="D18" s="142"/>
      <c r="E18" s="169"/>
      <c r="F18" s="169"/>
      <c r="G18" s="169"/>
      <c r="H18" s="169"/>
      <c r="I18" s="169"/>
      <c r="J18" s="169"/>
      <c r="K18" s="181"/>
      <c r="L18" s="181"/>
      <c r="M18" s="181"/>
      <c r="N18" s="146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137" customFormat="1" ht="21" customHeight="1">
      <c r="A19" s="137" t="s">
        <v>414</v>
      </c>
      <c r="B19" s="138"/>
      <c r="C19" s="138"/>
      <c r="D19" s="138"/>
      <c r="E19" s="138"/>
      <c r="F19" s="138"/>
      <c r="G19" s="138"/>
      <c r="H19" s="138"/>
      <c r="I19" s="138"/>
      <c r="K19" s="139"/>
      <c r="L19" s="139"/>
      <c r="M19" s="139"/>
      <c r="N19" s="146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spans="2:39" s="148" customFormat="1" ht="8.25" customHeight="1">
      <c r="B20" s="142"/>
      <c r="C20" s="142"/>
      <c r="D20" s="142"/>
      <c r="E20" s="173"/>
      <c r="F20" s="154"/>
      <c r="G20" s="154"/>
      <c r="H20" s="154"/>
      <c r="I20" s="154"/>
      <c r="J20" s="154"/>
      <c r="K20" s="181"/>
      <c r="L20" s="181"/>
      <c r="M20" s="181"/>
      <c r="N20" s="146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148" customFormat="1" ht="14.25" customHeight="1">
      <c r="A21" s="1351" t="s">
        <v>34</v>
      </c>
      <c r="B21" s="1354" t="s">
        <v>82</v>
      </c>
      <c r="C21" s="1355"/>
      <c r="D21" s="1356"/>
      <c r="E21" s="1342" t="s">
        <v>83</v>
      </c>
      <c r="F21" s="1343"/>
      <c r="G21" s="1344"/>
      <c r="H21" s="1360" t="s">
        <v>86</v>
      </c>
      <c r="I21" s="1361"/>
      <c r="J21" s="1361"/>
      <c r="K21" s="1361"/>
      <c r="L21" s="1361"/>
      <c r="M21" s="1362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148" customFormat="1" ht="15.75" customHeight="1">
      <c r="A22" s="1352"/>
      <c r="B22" s="1357"/>
      <c r="C22" s="1358"/>
      <c r="D22" s="1359"/>
      <c r="E22" s="1345"/>
      <c r="F22" s="1346"/>
      <c r="G22" s="1347"/>
      <c r="H22" s="1348" t="s">
        <v>88</v>
      </c>
      <c r="I22" s="1349"/>
      <c r="J22" s="1350"/>
      <c r="K22" s="1348" t="s">
        <v>85</v>
      </c>
      <c r="L22" s="1349"/>
      <c r="M22" s="1350"/>
      <c r="N22" s="146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148" customFormat="1" ht="14.25" customHeight="1">
      <c r="A23" s="1353"/>
      <c r="B23" s="182" t="s">
        <v>5</v>
      </c>
      <c r="C23" s="184" t="s">
        <v>47</v>
      </c>
      <c r="D23" s="185" t="s">
        <v>48</v>
      </c>
      <c r="E23" s="182" t="s">
        <v>5</v>
      </c>
      <c r="F23" s="184" t="s">
        <v>47</v>
      </c>
      <c r="G23" s="183" t="s">
        <v>48</v>
      </c>
      <c r="H23" s="182" t="s">
        <v>5</v>
      </c>
      <c r="I23" s="184" t="s">
        <v>47</v>
      </c>
      <c r="J23" s="183" t="s">
        <v>48</v>
      </c>
      <c r="K23" s="182" t="s">
        <v>5</v>
      </c>
      <c r="L23" s="184" t="s">
        <v>47</v>
      </c>
      <c r="M23" s="183" t="s">
        <v>48</v>
      </c>
      <c r="N23" s="146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148" customFormat="1" ht="19.5" customHeight="1">
      <c r="A24" s="151" t="s">
        <v>35</v>
      </c>
      <c r="B24" s="152">
        <f aca="true" t="shared" si="6" ref="B24:B29">SUM(E24,H24,K24)</f>
        <v>38562</v>
      </c>
      <c r="C24" s="155">
        <f aca="true" t="shared" si="7" ref="C24:C29">SUM(F24,I24,L24)</f>
        <v>19642</v>
      </c>
      <c r="D24" s="154">
        <f aca="true" t="shared" si="8" ref="D24:D29">SUM(G24,J24,M24)</f>
        <v>18920</v>
      </c>
      <c r="E24" s="152">
        <f aca="true" t="shared" si="9" ref="E24:E29">F24+G24</f>
        <v>29892</v>
      </c>
      <c r="F24" s="155">
        <v>15218</v>
      </c>
      <c r="G24" s="154">
        <v>14674</v>
      </c>
      <c r="H24" s="152">
        <f aca="true" t="shared" si="10" ref="H24:H29">I24+J24</f>
        <v>6397</v>
      </c>
      <c r="I24" s="155">
        <v>3241</v>
      </c>
      <c r="J24" s="156">
        <v>3156</v>
      </c>
      <c r="K24" s="152">
        <f aca="true" t="shared" si="11" ref="K24:K29">L24+M24</f>
        <v>2273</v>
      </c>
      <c r="L24" s="155">
        <v>1183</v>
      </c>
      <c r="M24" s="156">
        <v>1090</v>
      </c>
      <c r="N24" s="146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148" customFormat="1" ht="19.5" customHeight="1">
      <c r="A25" s="151" t="s">
        <v>36</v>
      </c>
      <c r="B25" s="152">
        <f t="shared" si="6"/>
        <v>29353</v>
      </c>
      <c r="C25" s="155">
        <f t="shared" si="7"/>
        <v>15007</v>
      </c>
      <c r="D25" s="154">
        <f t="shared" si="8"/>
        <v>14346</v>
      </c>
      <c r="E25" s="152">
        <f t="shared" si="9"/>
        <v>21433</v>
      </c>
      <c r="F25" s="155">
        <v>11035</v>
      </c>
      <c r="G25" s="154">
        <v>10398</v>
      </c>
      <c r="H25" s="152">
        <f t="shared" si="10"/>
        <v>6901</v>
      </c>
      <c r="I25" s="155">
        <v>3438</v>
      </c>
      <c r="J25" s="156">
        <v>3463</v>
      </c>
      <c r="K25" s="152">
        <f t="shared" si="11"/>
        <v>1019</v>
      </c>
      <c r="L25" s="155">
        <v>534</v>
      </c>
      <c r="M25" s="156">
        <v>485</v>
      </c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148" customFormat="1" ht="19.5" customHeight="1">
      <c r="A26" s="151" t="s">
        <v>37</v>
      </c>
      <c r="B26" s="152">
        <f t="shared" si="6"/>
        <v>25289</v>
      </c>
      <c r="C26" s="155">
        <f t="shared" si="7"/>
        <v>12895</v>
      </c>
      <c r="D26" s="154">
        <f t="shared" si="8"/>
        <v>12394</v>
      </c>
      <c r="E26" s="152">
        <f t="shared" si="9"/>
        <v>18060</v>
      </c>
      <c r="F26" s="155">
        <v>9295</v>
      </c>
      <c r="G26" s="154">
        <v>8765</v>
      </c>
      <c r="H26" s="152">
        <f t="shared" si="10"/>
        <v>5129</v>
      </c>
      <c r="I26" s="155">
        <v>2562</v>
      </c>
      <c r="J26" s="156">
        <v>2567</v>
      </c>
      <c r="K26" s="152">
        <f t="shared" si="11"/>
        <v>2100</v>
      </c>
      <c r="L26" s="155">
        <v>1038</v>
      </c>
      <c r="M26" s="156">
        <v>1062</v>
      </c>
      <c r="N26" s="146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148" customFormat="1" ht="19.5" customHeight="1">
      <c r="A27" s="151" t="s">
        <v>55</v>
      </c>
      <c r="B27" s="152">
        <f t="shared" si="6"/>
        <v>20803</v>
      </c>
      <c r="C27" s="155">
        <f t="shared" si="7"/>
        <v>10584</v>
      </c>
      <c r="D27" s="154">
        <f t="shared" si="8"/>
        <v>10219</v>
      </c>
      <c r="E27" s="152">
        <f t="shared" si="9"/>
        <v>15184</v>
      </c>
      <c r="F27" s="155">
        <v>7749</v>
      </c>
      <c r="G27" s="154">
        <v>7435</v>
      </c>
      <c r="H27" s="152">
        <f t="shared" si="10"/>
        <v>3758</v>
      </c>
      <c r="I27" s="155">
        <v>1908</v>
      </c>
      <c r="J27" s="156">
        <v>1850</v>
      </c>
      <c r="K27" s="152">
        <f t="shared" si="11"/>
        <v>1861</v>
      </c>
      <c r="L27" s="155">
        <v>927</v>
      </c>
      <c r="M27" s="156">
        <v>934</v>
      </c>
      <c r="N27" s="146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148" customFormat="1" ht="19.5" customHeight="1">
      <c r="A28" s="151" t="s">
        <v>39</v>
      </c>
      <c r="B28" s="152">
        <f t="shared" si="6"/>
        <v>5015</v>
      </c>
      <c r="C28" s="155">
        <f t="shared" si="7"/>
        <v>2565</v>
      </c>
      <c r="D28" s="154">
        <f t="shared" si="8"/>
        <v>2450</v>
      </c>
      <c r="E28" s="174">
        <f t="shared" si="9"/>
        <v>2868</v>
      </c>
      <c r="F28" s="155">
        <v>1482</v>
      </c>
      <c r="G28" s="154">
        <v>1386</v>
      </c>
      <c r="H28" s="152">
        <f t="shared" si="10"/>
        <v>2147</v>
      </c>
      <c r="I28" s="155">
        <v>1083</v>
      </c>
      <c r="J28" s="156">
        <v>1064</v>
      </c>
      <c r="K28" s="159" t="s">
        <v>40</v>
      </c>
      <c r="L28" s="160" t="s">
        <v>40</v>
      </c>
      <c r="M28" s="162" t="s">
        <v>40</v>
      </c>
      <c r="N28" s="146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148" customFormat="1" ht="19.5" customHeight="1">
      <c r="A29" s="176" t="s">
        <v>56</v>
      </c>
      <c r="B29" s="177">
        <f t="shared" si="6"/>
        <v>119022</v>
      </c>
      <c r="C29" s="178">
        <f t="shared" si="7"/>
        <v>60693</v>
      </c>
      <c r="D29" s="180">
        <f t="shared" si="8"/>
        <v>58329</v>
      </c>
      <c r="E29" s="177">
        <f t="shared" si="9"/>
        <v>87437</v>
      </c>
      <c r="F29" s="178">
        <f>SUM(F24:F28)</f>
        <v>44779</v>
      </c>
      <c r="G29" s="180">
        <f>SUM(G24:G28)</f>
        <v>42658</v>
      </c>
      <c r="H29" s="177">
        <f t="shared" si="10"/>
        <v>24332</v>
      </c>
      <c r="I29" s="178">
        <f>SUM(I24:I28)</f>
        <v>12232</v>
      </c>
      <c r="J29" s="179">
        <f>SUM(J24:J28)</f>
        <v>12100</v>
      </c>
      <c r="K29" s="177">
        <f t="shared" si="11"/>
        <v>7253</v>
      </c>
      <c r="L29" s="178">
        <f>SUM(L24:L28)</f>
        <v>3682</v>
      </c>
      <c r="M29" s="179">
        <f>SUM(M24:M28)</f>
        <v>3571</v>
      </c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ht="5.25" customHeight="1">
      <c r="A30" s="186"/>
    </row>
    <row r="31" spans="1:14" s="187" customFormat="1" ht="18" customHeight="1">
      <c r="A31" s="187" t="s">
        <v>87</v>
      </c>
      <c r="N31" s="143"/>
    </row>
    <row r="32" spans="1:14" s="191" customFormat="1" ht="12.75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90"/>
      <c r="N32" s="143"/>
    </row>
  </sheetData>
  <mergeCells count="12">
    <mergeCell ref="A21:A23"/>
    <mergeCell ref="B21:D22"/>
    <mergeCell ref="E21:G22"/>
    <mergeCell ref="H21:M21"/>
    <mergeCell ref="H22:J22"/>
    <mergeCell ref="K22:M22"/>
    <mergeCell ref="A3:A5"/>
    <mergeCell ref="B3:D4"/>
    <mergeCell ref="E3:G4"/>
    <mergeCell ref="H3:M3"/>
    <mergeCell ref="H4:J4"/>
    <mergeCell ref="K4:M4"/>
  </mergeCells>
  <printOptions/>
  <pageMargins left="0.2" right="0.25" top="0.84" bottom="0.1" header="0.5" footer="0.2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0.00390625" style="193" customWidth="1"/>
    <col min="2" max="7" width="7.00390625" style="193" customWidth="1"/>
    <col min="8" max="8" width="10.140625" style="193" customWidth="1"/>
    <col min="9" max="9" width="8.140625" style="193" customWidth="1"/>
    <col min="10" max="10" width="4.8515625" style="193" customWidth="1"/>
    <col min="11" max="16384" width="8.8515625" style="193" customWidth="1"/>
  </cols>
  <sheetData>
    <row r="1" ht="21.75" customHeight="1">
      <c r="A1" s="192" t="s">
        <v>411</v>
      </c>
    </row>
    <row r="2" spans="1:9" ht="16.5" customHeight="1">
      <c r="A2" s="194"/>
      <c r="B2" s="195"/>
      <c r="C2" s="195"/>
      <c r="D2" s="195"/>
      <c r="E2" s="195"/>
      <c r="F2" s="195"/>
      <c r="G2" s="195"/>
      <c r="H2" s="195"/>
      <c r="I2" s="195"/>
    </row>
    <row r="3" spans="1:9" s="199" customFormat="1" ht="18" customHeight="1">
      <c r="A3" s="1363" t="s">
        <v>17</v>
      </c>
      <c r="B3" s="196" t="s">
        <v>89</v>
      </c>
      <c r="C3" s="197"/>
      <c r="D3" s="198"/>
      <c r="E3" s="197"/>
      <c r="F3" s="198"/>
      <c r="G3" s="197"/>
      <c r="H3" s="197"/>
      <c r="I3" s="1365" t="s">
        <v>90</v>
      </c>
    </row>
    <row r="4" spans="1:9" s="199" customFormat="1" ht="45" customHeight="1">
      <c r="A4" s="1364"/>
      <c r="B4" s="200" t="s">
        <v>91</v>
      </c>
      <c r="C4" s="200" t="s">
        <v>92</v>
      </c>
      <c r="D4" s="200" t="s">
        <v>93</v>
      </c>
      <c r="E4" s="200" t="s">
        <v>94</v>
      </c>
      <c r="F4" s="200" t="s">
        <v>95</v>
      </c>
      <c r="G4" s="200" t="s">
        <v>96</v>
      </c>
      <c r="H4" s="201" t="s">
        <v>97</v>
      </c>
      <c r="I4" s="1366"/>
    </row>
    <row r="5" spans="1:9" s="199" customFormat="1" ht="30.75" customHeight="1">
      <c r="A5" s="202" t="s">
        <v>63</v>
      </c>
      <c r="B5" s="203">
        <v>2710</v>
      </c>
      <c r="C5" s="203">
        <v>2605</v>
      </c>
      <c r="D5" s="203">
        <v>2788</v>
      </c>
      <c r="E5" s="203">
        <v>2705</v>
      </c>
      <c r="F5" s="203">
        <v>2576</v>
      </c>
      <c r="G5" s="203">
        <v>2632</v>
      </c>
      <c r="H5" s="204">
        <v>759</v>
      </c>
      <c r="I5" s="205">
        <f aca="true" t="shared" si="0" ref="I5:I16">SUM(B5:H5)</f>
        <v>16775</v>
      </c>
    </row>
    <row r="6" spans="1:9" s="199" customFormat="1" ht="30.75" customHeight="1">
      <c r="A6" s="206" t="s">
        <v>64</v>
      </c>
      <c r="B6" s="207">
        <v>1685</v>
      </c>
      <c r="C6" s="207">
        <v>1629</v>
      </c>
      <c r="D6" s="207">
        <v>1679</v>
      </c>
      <c r="E6" s="207">
        <v>1692</v>
      </c>
      <c r="F6" s="207">
        <v>1686</v>
      </c>
      <c r="G6" s="207">
        <v>1582</v>
      </c>
      <c r="H6" s="208">
        <v>468</v>
      </c>
      <c r="I6" s="209">
        <f t="shared" si="0"/>
        <v>10421</v>
      </c>
    </row>
    <row r="7" spans="1:9" s="199" customFormat="1" ht="30.75" customHeight="1">
      <c r="A7" s="206" t="s">
        <v>66</v>
      </c>
      <c r="B7" s="207">
        <v>1558</v>
      </c>
      <c r="C7" s="207">
        <v>1718</v>
      </c>
      <c r="D7" s="207">
        <v>1684</v>
      </c>
      <c r="E7" s="207">
        <v>1773</v>
      </c>
      <c r="F7" s="207">
        <v>1645</v>
      </c>
      <c r="G7" s="207">
        <v>1729</v>
      </c>
      <c r="H7" s="208">
        <v>403</v>
      </c>
      <c r="I7" s="209">
        <f t="shared" si="0"/>
        <v>10510</v>
      </c>
    </row>
    <row r="8" spans="1:9" s="199" customFormat="1" ht="30.75" customHeight="1">
      <c r="A8" s="206" t="s">
        <v>67</v>
      </c>
      <c r="B8" s="207">
        <v>2169</v>
      </c>
      <c r="C8" s="207">
        <v>2254</v>
      </c>
      <c r="D8" s="207">
        <v>2318</v>
      </c>
      <c r="E8" s="207">
        <v>2279</v>
      </c>
      <c r="F8" s="207">
        <v>2129</v>
      </c>
      <c r="G8" s="207">
        <v>2214</v>
      </c>
      <c r="H8" s="208">
        <v>585</v>
      </c>
      <c r="I8" s="209">
        <f t="shared" si="0"/>
        <v>13948</v>
      </c>
    </row>
    <row r="9" spans="1:9" s="199" customFormat="1" ht="30.75" customHeight="1">
      <c r="A9" s="206" t="s">
        <v>68</v>
      </c>
      <c r="B9" s="207">
        <v>1647</v>
      </c>
      <c r="C9" s="207">
        <v>1659</v>
      </c>
      <c r="D9" s="207">
        <v>1735</v>
      </c>
      <c r="E9" s="207">
        <v>1812</v>
      </c>
      <c r="F9" s="207">
        <v>1624</v>
      </c>
      <c r="G9" s="207">
        <v>1792</v>
      </c>
      <c r="H9" s="208">
        <v>439</v>
      </c>
      <c r="I9" s="209">
        <f t="shared" si="0"/>
        <v>10708</v>
      </c>
    </row>
    <row r="10" spans="1:9" s="199" customFormat="1" ht="30.75" customHeight="1">
      <c r="A10" s="206" t="s">
        <v>69</v>
      </c>
      <c r="B10" s="207">
        <v>1047</v>
      </c>
      <c r="C10" s="207">
        <v>992</v>
      </c>
      <c r="D10" s="207">
        <v>993</v>
      </c>
      <c r="E10" s="207">
        <v>995</v>
      </c>
      <c r="F10" s="207">
        <v>934</v>
      </c>
      <c r="G10" s="207">
        <v>994</v>
      </c>
      <c r="H10" s="208">
        <v>282</v>
      </c>
      <c r="I10" s="209">
        <f t="shared" si="0"/>
        <v>6237</v>
      </c>
    </row>
    <row r="11" spans="1:9" s="199" customFormat="1" ht="30.75" customHeight="1">
      <c r="A11" s="206" t="s">
        <v>70</v>
      </c>
      <c r="B11" s="207">
        <v>5361</v>
      </c>
      <c r="C11" s="207">
        <v>5346</v>
      </c>
      <c r="D11" s="207">
        <v>5393</v>
      </c>
      <c r="E11" s="207">
        <v>5481</v>
      </c>
      <c r="F11" s="207">
        <v>5426</v>
      </c>
      <c r="G11" s="207">
        <v>5445</v>
      </c>
      <c r="H11" s="208">
        <v>929</v>
      </c>
      <c r="I11" s="209">
        <f t="shared" si="0"/>
        <v>33381</v>
      </c>
    </row>
    <row r="12" spans="1:9" s="199" customFormat="1" ht="30.75" customHeight="1">
      <c r="A12" s="206" t="s">
        <v>71</v>
      </c>
      <c r="B12" s="207">
        <v>1282</v>
      </c>
      <c r="C12" s="207">
        <v>1207</v>
      </c>
      <c r="D12" s="207">
        <v>1318</v>
      </c>
      <c r="E12" s="207">
        <v>1284</v>
      </c>
      <c r="F12" s="207">
        <v>1172</v>
      </c>
      <c r="G12" s="207">
        <v>1192</v>
      </c>
      <c r="H12" s="208">
        <v>295</v>
      </c>
      <c r="I12" s="209">
        <f t="shared" si="0"/>
        <v>7750</v>
      </c>
    </row>
    <row r="13" spans="1:9" s="199" customFormat="1" ht="30.75" customHeight="1">
      <c r="A13" s="206" t="s">
        <v>72</v>
      </c>
      <c r="B13" s="207">
        <v>742</v>
      </c>
      <c r="C13" s="207">
        <v>690</v>
      </c>
      <c r="D13" s="207">
        <v>693</v>
      </c>
      <c r="E13" s="207">
        <v>660</v>
      </c>
      <c r="F13" s="207">
        <v>596</v>
      </c>
      <c r="G13" s="207">
        <v>598</v>
      </c>
      <c r="H13" s="208">
        <v>298</v>
      </c>
      <c r="I13" s="209">
        <f t="shared" si="0"/>
        <v>4277</v>
      </c>
    </row>
    <row r="14" spans="1:9" s="199" customFormat="1" ht="30.75" customHeight="1">
      <c r="A14" s="202" t="s">
        <v>73</v>
      </c>
      <c r="B14" s="203">
        <f>SUM(B5:B13)</f>
        <v>18201</v>
      </c>
      <c r="C14" s="203">
        <f aca="true" t="shared" si="1" ref="C14:I14">SUM(C5:C13)</f>
        <v>18100</v>
      </c>
      <c r="D14" s="203">
        <f t="shared" si="1"/>
        <v>18601</v>
      </c>
      <c r="E14" s="203">
        <f t="shared" si="1"/>
        <v>18681</v>
      </c>
      <c r="F14" s="203">
        <f t="shared" si="1"/>
        <v>17788</v>
      </c>
      <c r="G14" s="203">
        <f t="shared" si="1"/>
        <v>18178</v>
      </c>
      <c r="H14" s="210">
        <f t="shared" si="1"/>
        <v>4458</v>
      </c>
      <c r="I14" s="205">
        <f t="shared" si="1"/>
        <v>114007</v>
      </c>
    </row>
    <row r="15" spans="1:9" s="199" customFormat="1" ht="30.75" customHeight="1">
      <c r="A15" s="206" t="s">
        <v>74</v>
      </c>
      <c r="B15" s="207">
        <v>847</v>
      </c>
      <c r="C15" s="207">
        <v>815</v>
      </c>
      <c r="D15" s="207">
        <v>824</v>
      </c>
      <c r="E15" s="207">
        <v>807</v>
      </c>
      <c r="F15" s="207">
        <v>699</v>
      </c>
      <c r="G15" s="207">
        <v>723</v>
      </c>
      <c r="H15" s="208">
        <v>300</v>
      </c>
      <c r="I15" s="209">
        <f t="shared" si="0"/>
        <v>5015</v>
      </c>
    </row>
    <row r="16" spans="1:9" s="199" customFormat="1" ht="30.75" customHeight="1">
      <c r="A16" s="211" t="s">
        <v>98</v>
      </c>
      <c r="B16" s="212">
        <f aca="true" t="shared" si="2" ref="B16:H16">SUM(B14:B15)</f>
        <v>19048</v>
      </c>
      <c r="C16" s="212">
        <f t="shared" si="2"/>
        <v>18915</v>
      </c>
      <c r="D16" s="212">
        <f t="shared" si="2"/>
        <v>19425</v>
      </c>
      <c r="E16" s="212">
        <f t="shared" si="2"/>
        <v>19488</v>
      </c>
      <c r="F16" s="212">
        <f t="shared" si="2"/>
        <v>18487</v>
      </c>
      <c r="G16" s="212">
        <f t="shared" si="2"/>
        <v>18901</v>
      </c>
      <c r="H16" s="224">
        <f t="shared" si="2"/>
        <v>4758</v>
      </c>
      <c r="I16" s="1023">
        <f t="shared" si="0"/>
        <v>119022</v>
      </c>
    </row>
    <row r="17" spans="1:9" s="199" customFormat="1" ht="9.75" customHeight="1">
      <c r="A17" s="215"/>
      <c r="B17" s="216"/>
      <c r="C17" s="216"/>
      <c r="D17" s="216"/>
      <c r="E17" s="216"/>
      <c r="F17" s="216"/>
      <c r="G17" s="216"/>
      <c r="H17" s="217"/>
      <c r="I17" s="216"/>
    </row>
    <row r="18" spans="1:9" s="199" customFormat="1" ht="20.25" customHeight="1">
      <c r="A18" s="218" t="s">
        <v>412</v>
      </c>
      <c r="B18" s="216"/>
      <c r="C18" s="216"/>
      <c r="D18" s="216"/>
      <c r="E18" s="216"/>
      <c r="F18" s="216"/>
      <c r="G18" s="216"/>
      <c r="H18" s="217"/>
      <c r="I18" s="216"/>
    </row>
    <row r="19" spans="1:18" s="199" customFormat="1" ht="10.5" customHeight="1">
      <c r="A19" s="219"/>
      <c r="B19" s="216"/>
      <c r="C19" s="216"/>
      <c r="D19" s="216"/>
      <c r="E19" s="216"/>
      <c r="F19" s="216"/>
      <c r="G19" s="216"/>
      <c r="H19" s="217"/>
      <c r="I19" s="216"/>
      <c r="K19" s="193"/>
      <c r="L19" s="193"/>
      <c r="M19" s="193"/>
      <c r="N19" s="193"/>
      <c r="O19" s="193"/>
      <c r="P19" s="193"/>
      <c r="Q19" s="193"/>
      <c r="R19" s="193"/>
    </row>
    <row r="20" spans="1:18" s="199" customFormat="1" ht="18" customHeight="1">
      <c r="A20" s="1363" t="s">
        <v>34</v>
      </c>
      <c r="B20" s="220" t="s">
        <v>89</v>
      </c>
      <c r="C20" s="221"/>
      <c r="D20" s="220"/>
      <c r="E20" s="221"/>
      <c r="F20" s="220"/>
      <c r="G20" s="220"/>
      <c r="H20" s="222"/>
      <c r="I20" s="1365" t="s">
        <v>90</v>
      </c>
      <c r="K20" s="193"/>
      <c r="L20" s="193"/>
      <c r="M20" s="193"/>
      <c r="N20" s="193"/>
      <c r="O20" s="193"/>
      <c r="P20" s="193"/>
      <c r="Q20" s="193"/>
      <c r="R20" s="193"/>
    </row>
    <row r="21" spans="1:18" s="199" customFormat="1" ht="44.25" customHeight="1">
      <c r="A21" s="1364"/>
      <c r="B21" s="200" t="s">
        <v>91</v>
      </c>
      <c r="C21" s="200" t="s">
        <v>92</v>
      </c>
      <c r="D21" s="200" t="s">
        <v>93</v>
      </c>
      <c r="E21" s="200" t="s">
        <v>94</v>
      </c>
      <c r="F21" s="200" t="s">
        <v>95</v>
      </c>
      <c r="G21" s="198" t="s">
        <v>96</v>
      </c>
      <c r="H21" s="201" t="s">
        <v>97</v>
      </c>
      <c r="I21" s="1366"/>
      <c r="K21" s="193"/>
      <c r="L21" s="193"/>
      <c r="M21" s="193"/>
      <c r="N21" s="193"/>
      <c r="O21" s="193"/>
      <c r="P21" s="193"/>
      <c r="Q21" s="193"/>
      <c r="R21" s="193"/>
    </row>
    <row r="22" spans="1:18" s="199" customFormat="1" ht="31.5" customHeight="1">
      <c r="A22" s="202" t="s">
        <v>265</v>
      </c>
      <c r="B22" s="203">
        <v>6084</v>
      </c>
      <c r="C22" s="203">
        <v>6080</v>
      </c>
      <c r="D22" s="203">
        <v>6270</v>
      </c>
      <c r="E22" s="203">
        <v>6290</v>
      </c>
      <c r="F22" s="203">
        <v>6047</v>
      </c>
      <c r="G22" s="223">
        <v>6086</v>
      </c>
      <c r="H22" s="204">
        <v>1705</v>
      </c>
      <c r="I22" s="205">
        <f>SUM(B22:H22)</f>
        <v>38562</v>
      </c>
      <c r="K22" s="193"/>
      <c r="L22" s="193"/>
      <c r="M22" s="193"/>
      <c r="N22" s="193"/>
      <c r="O22" s="193"/>
      <c r="P22" s="193"/>
      <c r="Q22" s="193"/>
      <c r="R22" s="193"/>
    </row>
    <row r="23" spans="1:18" s="199" customFormat="1" ht="31.5" customHeight="1">
      <c r="A23" s="206" t="s">
        <v>99</v>
      </c>
      <c r="B23" s="207">
        <v>4593</v>
      </c>
      <c r="C23" s="207">
        <v>4645</v>
      </c>
      <c r="D23" s="207">
        <v>4868</v>
      </c>
      <c r="E23" s="207">
        <v>4852</v>
      </c>
      <c r="F23" s="207">
        <v>4573</v>
      </c>
      <c r="G23" s="216">
        <v>4665</v>
      </c>
      <c r="H23" s="208">
        <v>1157</v>
      </c>
      <c r="I23" s="209">
        <f>SUM(B23:H23)</f>
        <v>29353</v>
      </c>
      <c r="K23" s="193"/>
      <c r="L23" s="193"/>
      <c r="M23" s="193"/>
      <c r="N23" s="193"/>
      <c r="O23" s="193"/>
      <c r="P23" s="193"/>
      <c r="Q23" s="193"/>
      <c r="R23" s="193"/>
    </row>
    <row r="24" spans="1:18" s="199" customFormat="1" ht="31.5" customHeight="1">
      <c r="A24" s="206" t="s">
        <v>100</v>
      </c>
      <c r="B24" s="207">
        <v>4092</v>
      </c>
      <c r="C24" s="207">
        <v>3999</v>
      </c>
      <c r="D24" s="207">
        <v>4110</v>
      </c>
      <c r="E24" s="207">
        <v>4150</v>
      </c>
      <c r="F24" s="207">
        <v>3910</v>
      </c>
      <c r="G24" s="216">
        <v>4126</v>
      </c>
      <c r="H24" s="208">
        <v>902</v>
      </c>
      <c r="I24" s="209">
        <f>SUM(B24:H24)</f>
        <v>25289</v>
      </c>
      <c r="K24" s="193"/>
      <c r="L24" s="193"/>
      <c r="M24" s="193"/>
      <c r="N24" s="193"/>
      <c r="O24" s="193"/>
      <c r="P24" s="193"/>
      <c r="Q24" s="193"/>
      <c r="R24" s="193"/>
    </row>
    <row r="25" spans="1:18" s="199" customFormat="1" ht="31.5" customHeight="1">
      <c r="A25" s="206" t="s">
        <v>101</v>
      </c>
      <c r="B25" s="207">
        <v>3432</v>
      </c>
      <c r="C25" s="207">
        <v>3376</v>
      </c>
      <c r="D25" s="207">
        <v>3353</v>
      </c>
      <c r="E25" s="207">
        <v>3389</v>
      </c>
      <c r="F25" s="207">
        <v>3258</v>
      </c>
      <c r="G25" s="216">
        <v>3301</v>
      </c>
      <c r="H25" s="208">
        <v>694</v>
      </c>
      <c r="I25" s="209">
        <f>SUM(B25:H25)</f>
        <v>20803</v>
      </c>
      <c r="K25" s="193"/>
      <c r="L25" s="193"/>
      <c r="M25" s="193"/>
      <c r="N25" s="193"/>
      <c r="O25" s="193"/>
      <c r="P25" s="193"/>
      <c r="Q25" s="193"/>
      <c r="R25" s="193"/>
    </row>
    <row r="26" spans="1:18" s="199" customFormat="1" ht="31.5" customHeight="1">
      <c r="A26" s="206" t="s">
        <v>102</v>
      </c>
      <c r="B26" s="207">
        <v>847</v>
      </c>
      <c r="C26" s="207">
        <v>815</v>
      </c>
      <c r="D26" s="207">
        <v>824</v>
      </c>
      <c r="E26" s="207">
        <v>807</v>
      </c>
      <c r="F26" s="207">
        <v>699</v>
      </c>
      <c r="G26" s="216">
        <v>723</v>
      </c>
      <c r="H26" s="208">
        <v>300</v>
      </c>
      <c r="I26" s="209">
        <f>SUM(B26:H26)</f>
        <v>5015</v>
      </c>
      <c r="K26" s="193"/>
      <c r="L26" s="193"/>
      <c r="M26" s="193"/>
      <c r="N26" s="193"/>
      <c r="O26" s="193"/>
      <c r="P26" s="193"/>
      <c r="Q26" s="193"/>
      <c r="R26" s="193"/>
    </row>
    <row r="27" spans="1:18" s="199" customFormat="1" ht="31.5" customHeight="1">
      <c r="A27" s="211" t="s">
        <v>103</v>
      </c>
      <c r="B27" s="212">
        <f aca="true" t="shared" si="3" ref="B27:I27">SUM(B22:B26)</f>
        <v>19048</v>
      </c>
      <c r="C27" s="212">
        <f t="shared" si="3"/>
        <v>18915</v>
      </c>
      <c r="D27" s="212">
        <f t="shared" si="3"/>
        <v>19425</v>
      </c>
      <c r="E27" s="212">
        <f t="shared" si="3"/>
        <v>19488</v>
      </c>
      <c r="F27" s="212">
        <f t="shared" si="3"/>
        <v>18487</v>
      </c>
      <c r="G27" s="224">
        <f t="shared" si="3"/>
        <v>18901</v>
      </c>
      <c r="H27" s="213">
        <f t="shared" si="3"/>
        <v>4758</v>
      </c>
      <c r="I27" s="214">
        <f t="shared" si="3"/>
        <v>119022</v>
      </c>
      <c r="K27" s="193"/>
      <c r="L27" s="193"/>
      <c r="M27" s="193"/>
      <c r="N27" s="193"/>
      <c r="O27" s="193"/>
      <c r="P27" s="193"/>
      <c r="Q27" s="193"/>
      <c r="R27" s="193"/>
    </row>
    <row r="28" spans="1:18" s="199" customFormat="1" ht="18.75" customHeight="1">
      <c r="A28" s="225" t="s">
        <v>104</v>
      </c>
      <c r="K28" s="193"/>
      <c r="L28" s="193"/>
      <c r="M28" s="193"/>
      <c r="N28" s="193"/>
      <c r="O28" s="193"/>
      <c r="P28" s="193"/>
      <c r="Q28" s="193"/>
      <c r="R28" s="193"/>
    </row>
  </sheetData>
  <mergeCells count="4">
    <mergeCell ref="A3:A4"/>
    <mergeCell ref="A20:A21"/>
    <mergeCell ref="I20:I21"/>
    <mergeCell ref="I3:I4"/>
  </mergeCells>
  <printOptions/>
  <pageMargins left="0.59" right="0.27" top="0.66" bottom="0.3" header="0.38" footer="0"/>
  <pageSetup horizontalDpi="300" verticalDpi="300" orientation="portrait" paperSize="9" r:id="rId1"/>
  <headerFooter alignWithMargins="0">
    <oddHeader>&amp;C&amp;"Times New Roman,Regular"- 13 -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N1" sqref="N1"/>
    </sheetView>
  </sheetViews>
  <sheetFormatPr defaultColWidth="9.140625" defaultRowHeight="12.75"/>
  <cols>
    <col min="1" max="1" width="1.7109375" style="227" customWidth="1"/>
    <col min="2" max="2" width="2.7109375" style="227" customWidth="1"/>
    <col min="3" max="3" width="10.7109375" style="227" customWidth="1"/>
    <col min="4" max="6" width="10.7109375" style="227" hidden="1" customWidth="1"/>
    <col min="7" max="7" width="8.57421875" style="227" customWidth="1"/>
    <col min="8" max="9" width="8.421875" style="227" customWidth="1"/>
    <col min="10" max="10" width="8.57421875" style="227" customWidth="1"/>
    <col min="11" max="12" width="8.421875" style="227" customWidth="1"/>
    <col min="13" max="13" width="8.57421875" style="227" customWidth="1"/>
    <col min="14" max="14" width="8.421875" style="227" customWidth="1"/>
    <col min="15" max="15" width="8.28125" style="227" customWidth="1"/>
    <col min="16" max="16384" width="9.140625" style="227" customWidth="1"/>
  </cols>
  <sheetData>
    <row r="1" ht="18" customHeight="1">
      <c r="A1" s="226" t="s">
        <v>410</v>
      </c>
    </row>
    <row r="2" ht="12.75" customHeight="1"/>
    <row r="3" spans="1:15" s="228" customFormat="1" ht="18.75" customHeight="1">
      <c r="A3" s="1370" t="s">
        <v>105</v>
      </c>
      <c r="B3" s="1371"/>
      <c r="C3" s="1372"/>
      <c r="D3" s="1367">
        <v>2005</v>
      </c>
      <c r="E3" s="1368"/>
      <c r="F3" s="1369"/>
      <c r="G3" s="1367">
        <v>2006</v>
      </c>
      <c r="H3" s="1368"/>
      <c r="I3" s="1369"/>
      <c r="J3" s="1367">
        <v>2007</v>
      </c>
      <c r="K3" s="1368"/>
      <c r="L3" s="1369"/>
      <c r="M3" s="1367">
        <v>2008</v>
      </c>
      <c r="N3" s="1368"/>
      <c r="O3" s="1369"/>
    </row>
    <row r="4" spans="1:15" s="228" customFormat="1" ht="19.5" customHeight="1">
      <c r="A4" s="1373"/>
      <c r="B4" s="1374"/>
      <c r="C4" s="1375"/>
      <c r="D4" s="229" t="s">
        <v>5</v>
      </c>
      <c r="E4" s="230" t="s">
        <v>47</v>
      </c>
      <c r="F4" s="231" t="s">
        <v>48</v>
      </c>
      <c r="G4" s="229" t="s">
        <v>5</v>
      </c>
      <c r="H4" s="230" t="s">
        <v>47</v>
      </c>
      <c r="I4" s="231" t="s">
        <v>48</v>
      </c>
      <c r="J4" s="229" t="s">
        <v>5</v>
      </c>
      <c r="K4" s="230" t="s">
        <v>47</v>
      </c>
      <c r="L4" s="231" t="s">
        <v>48</v>
      </c>
      <c r="M4" s="229" t="s">
        <v>5</v>
      </c>
      <c r="N4" s="230" t="s">
        <v>47</v>
      </c>
      <c r="O4" s="231" t="s">
        <v>48</v>
      </c>
    </row>
    <row r="5" spans="1:15" s="228" customFormat="1" ht="21.75" customHeight="1">
      <c r="A5" s="232" t="s">
        <v>54</v>
      </c>
      <c r="B5" s="233"/>
      <c r="C5" s="233"/>
      <c r="D5" s="234"/>
      <c r="E5" s="234"/>
      <c r="F5" s="234"/>
      <c r="I5" s="234"/>
      <c r="J5" s="234"/>
      <c r="L5" s="234"/>
      <c r="M5" s="1192"/>
      <c r="O5" s="235"/>
    </row>
    <row r="6" spans="1:15" s="242" customFormat="1" ht="25.5" customHeight="1">
      <c r="A6" s="236" t="s">
        <v>106</v>
      </c>
      <c r="B6" s="237" t="s">
        <v>91</v>
      </c>
      <c r="C6" s="238"/>
      <c r="D6" s="239">
        <f aca="true" t="shared" si="0" ref="D6:D12">E6+F6</f>
        <v>19525</v>
      </c>
      <c r="E6" s="240">
        <v>9928</v>
      </c>
      <c r="F6" s="241">
        <v>9597</v>
      </c>
      <c r="G6" s="239">
        <f aca="true" t="shared" si="1" ref="G6:G12">H6+I6</f>
        <v>19437</v>
      </c>
      <c r="H6" s="240">
        <v>9861</v>
      </c>
      <c r="I6" s="241">
        <v>9576</v>
      </c>
      <c r="J6" s="239">
        <f aca="true" t="shared" si="2" ref="J6:J12">K6+L6</f>
        <v>18831</v>
      </c>
      <c r="K6" s="240">
        <f>K15+K24</f>
        <v>9465</v>
      </c>
      <c r="L6" s="241">
        <f aca="true" t="shared" si="3" ref="L6:L12">L15+L24</f>
        <v>9366</v>
      </c>
      <c r="M6" s="246">
        <f aca="true" t="shared" si="4" ref="M6:M12">N6+O6</f>
        <v>19048</v>
      </c>
      <c r="N6" s="240">
        <f>N15+N24</f>
        <v>9587</v>
      </c>
      <c r="O6" s="241">
        <f aca="true" t="shared" si="5" ref="O6:O12">O15+O24</f>
        <v>9461</v>
      </c>
    </row>
    <row r="7" spans="1:15" s="242" customFormat="1" ht="25.5" customHeight="1">
      <c r="A7" s="243"/>
      <c r="B7" s="244" t="s">
        <v>92</v>
      </c>
      <c r="C7" s="245"/>
      <c r="D7" s="246">
        <f t="shared" si="0"/>
        <v>18578</v>
      </c>
      <c r="E7" s="247">
        <v>9420</v>
      </c>
      <c r="F7" s="248">
        <v>9158</v>
      </c>
      <c r="G7" s="246">
        <f t="shared" si="1"/>
        <v>19623</v>
      </c>
      <c r="H7" s="247">
        <v>9937</v>
      </c>
      <c r="I7" s="248">
        <v>9686</v>
      </c>
      <c r="J7" s="246">
        <f t="shared" si="2"/>
        <v>19468</v>
      </c>
      <c r="K7" s="247">
        <f aca="true" t="shared" si="6" ref="K7:K12">K16+K25</f>
        <v>9850</v>
      </c>
      <c r="L7" s="248">
        <f t="shared" si="3"/>
        <v>9618</v>
      </c>
      <c r="M7" s="246">
        <f t="shared" si="4"/>
        <v>18915</v>
      </c>
      <c r="N7" s="247">
        <f aca="true" t="shared" si="7" ref="N7:N12">N16+N25</f>
        <v>9533</v>
      </c>
      <c r="O7" s="248">
        <f t="shared" si="5"/>
        <v>9382</v>
      </c>
    </row>
    <row r="8" spans="1:15" s="242" customFormat="1" ht="25.5" customHeight="1">
      <c r="A8" s="243"/>
      <c r="B8" s="244" t="s">
        <v>93</v>
      </c>
      <c r="C8" s="245"/>
      <c r="D8" s="246">
        <f t="shared" si="0"/>
        <v>19179</v>
      </c>
      <c r="E8" s="247">
        <v>9733</v>
      </c>
      <c r="F8" s="248">
        <v>9446</v>
      </c>
      <c r="G8" s="246">
        <f t="shared" si="1"/>
        <v>18600</v>
      </c>
      <c r="H8" s="247">
        <v>9426</v>
      </c>
      <c r="I8" s="248">
        <v>9174</v>
      </c>
      <c r="J8" s="246">
        <f t="shared" si="2"/>
        <v>19548</v>
      </c>
      <c r="K8" s="247">
        <f t="shared" si="6"/>
        <v>9921</v>
      </c>
      <c r="L8" s="248">
        <f t="shared" si="3"/>
        <v>9627</v>
      </c>
      <c r="M8" s="246">
        <f t="shared" si="4"/>
        <v>19425</v>
      </c>
      <c r="N8" s="247">
        <f t="shared" si="7"/>
        <v>9926</v>
      </c>
      <c r="O8" s="248">
        <f t="shared" si="5"/>
        <v>9499</v>
      </c>
    </row>
    <row r="9" spans="1:15" s="242" customFormat="1" ht="25.5" customHeight="1">
      <c r="A9" s="243"/>
      <c r="B9" s="244" t="s">
        <v>94</v>
      </c>
      <c r="C9" s="245"/>
      <c r="D9" s="246">
        <f t="shared" si="0"/>
        <v>19716</v>
      </c>
      <c r="E9" s="247">
        <v>9863</v>
      </c>
      <c r="F9" s="248">
        <v>9853</v>
      </c>
      <c r="G9" s="246">
        <f t="shared" si="1"/>
        <v>19105</v>
      </c>
      <c r="H9" s="247">
        <v>9648</v>
      </c>
      <c r="I9" s="248">
        <v>9457</v>
      </c>
      <c r="J9" s="246">
        <f t="shared" si="2"/>
        <v>18522</v>
      </c>
      <c r="K9" s="247">
        <f t="shared" si="6"/>
        <v>9402</v>
      </c>
      <c r="L9" s="248">
        <f t="shared" si="3"/>
        <v>9120</v>
      </c>
      <c r="M9" s="246">
        <f t="shared" si="4"/>
        <v>19488</v>
      </c>
      <c r="N9" s="247">
        <f t="shared" si="7"/>
        <v>9849</v>
      </c>
      <c r="O9" s="248">
        <f t="shared" si="5"/>
        <v>9639</v>
      </c>
    </row>
    <row r="10" spans="1:15" s="242" customFormat="1" ht="25.5" customHeight="1">
      <c r="A10" s="243"/>
      <c r="B10" s="244" t="s">
        <v>95</v>
      </c>
      <c r="C10" s="245"/>
      <c r="D10" s="246">
        <f t="shared" si="0"/>
        <v>19798</v>
      </c>
      <c r="E10" s="247">
        <v>9897</v>
      </c>
      <c r="F10" s="248">
        <v>9901</v>
      </c>
      <c r="G10" s="246">
        <f t="shared" si="1"/>
        <v>19683</v>
      </c>
      <c r="H10" s="247">
        <v>9833</v>
      </c>
      <c r="I10" s="248">
        <v>9850</v>
      </c>
      <c r="J10" s="246">
        <f t="shared" si="2"/>
        <v>19044</v>
      </c>
      <c r="K10" s="247">
        <f t="shared" si="6"/>
        <v>9627</v>
      </c>
      <c r="L10" s="248">
        <f t="shared" si="3"/>
        <v>9417</v>
      </c>
      <c r="M10" s="246">
        <f t="shared" si="4"/>
        <v>18487</v>
      </c>
      <c r="N10" s="247">
        <f t="shared" si="7"/>
        <v>9416</v>
      </c>
      <c r="O10" s="248">
        <f t="shared" si="5"/>
        <v>9071</v>
      </c>
    </row>
    <row r="11" spans="1:15" s="242" customFormat="1" ht="25.5" customHeight="1">
      <c r="A11" s="243"/>
      <c r="B11" s="244" t="s">
        <v>96</v>
      </c>
      <c r="C11" s="245"/>
      <c r="D11" s="246">
        <f t="shared" si="0"/>
        <v>20801</v>
      </c>
      <c r="E11" s="247">
        <v>10480</v>
      </c>
      <c r="F11" s="248">
        <v>10321</v>
      </c>
      <c r="G11" s="246">
        <f t="shared" si="1"/>
        <v>19568</v>
      </c>
      <c r="H11" s="247">
        <v>9766</v>
      </c>
      <c r="I11" s="248">
        <v>9802</v>
      </c>
      <c r="J11" s="246">
        <f t="shared" si="2"/>
        <v>19456</v>
      </c>
      <c r="K11" s="247">
        <f t="shared" si="6"/>
        <v>9715</v>
      </c>
      <c r="L11" s="248">
        <f t="shared" si="3"/>
        <v>9741</v>
      </c>
      <c r="M11" s="246">
        <f t="shared" si="4"/>
        <v>18901</v>
      </c>
      <c r="N11" s="247">
        <f t="shared" si="7"/>
        <v>9570</v>
      </c>
      <c r="O11" s="248">
        <f t="shared" si="5"/>
        <v>9331</v>
      </c>
    </row>
    <row r="12" spans="1:15" s="242" customFormat="1" ht="25.5" customHeight="1">
      <c r="A12" s="243"/>
      <c r="B12" s="244" t="s">
        <v>96</v>
      </c>
      <c r="C12" s="249" t="s">
        <v>107</v>
      </c>
      <c r="D12" s="246">
        <f t="shared" si="0"/>
        <v>5965</v>
      </c>
      <c r="E12" s="247">
        <v>3408</v>
      </c>
      <c r="F12" s="248">
        <v>2557</v>
      </c>
      <c r="G12" s="246">
        <f t="shared" si="1"/>
        <v>5371</v>
      </c>
      <c r="H12" s="247">
        <v>3216</v>
      </c>
      <c r="I12" s="248">
        <v>2155</v>
      </c>
      <c r="J12" s="246">
        <f t="shared" si="2"/>
        <v>4441</v>
      </c>
      <c r="K12" s="247">
        <f t="shared" si="6"/>
        <v>2661</v>
      </c>
      <c r="L12" s="248">
        <f t="shared" si="3"/>
        <v>1780</v>
      </c>
      <c r="M12" s="246">
        <f t="shared" si="4"/>
        <v>4758</v>
      </c>
      <c r="N12" s="247">
        <f t="shared" si="7"/>
        <v>2812</v>
      </c>
      <c r="O12" s="248">
        <f t="shared" si="5"/>
        <v>1946</v>
      </c>
    </row>
    <row r="13" spans="1:15" s="242" customFormat="1" ht="25.5" customHeight="1">
      <c r="A13" s="250" t="s">
        <v>5</v>
      </c>
      <c r="B13" s="251"/>
      <c r="C13" s="252"/>
      <c r="D13" s="253">
        <f>SUM(D6:D12)</f>
        <v>123562</v>
      </c>
      <c r="E13" s="254">
        <f>SUM(E6:E12)</f>
        <v>62729</v>
      </c>
      <c r="F13" s="255">
        <f>D13-E13</f>
        <v>60833</v>
      </c>
      <c r="G13" s="253">
        <f aca="true" t="shared" si="8" ref="G13:L13">SUM(G6:G12)</f>
        <v>121387</v>
      </c>
      <c r="H13" s="254">
        <f t="shared" si="8"/>
        <v>61687</v>
      </c>
      <c r="I13" s="255">
        <f t="shared" si="8"/>
        <v>59700</v>
      </c>
      <c r="J13" s="253">
        <f t="shared" si="8"/>
        <v>119310</v>
      </c>
      <c r="K13" s="254">
        <f t="shared" si="8"/>
        <v>60641</v>
      </c>
      <c r="L13" s="255">
        <f t="shared" si="8"/>
        <v>58669</v>
      </c>
      <c r="M13" s="239">
        <f>SUM(M6:M12)</f>
        <v>119022</v>
      </c>
      <c r="N13" s="254">
        <f>SUM(N6:N12)</f>
        <v>60693</v>
      </c>
      <c r="O13" s="255">
        <f>SUM(O6:O12)</f>
        <v>58329</v>
      </c>
    </row>
    <row r="14" spans="1:15" s="242" customFormat="1" ht="22.5" customHeight="1">
      <c r="A14" s="232" t="s">
        <v>52</v>
      </c>
      <c r="B14" s="256"/>
      <c r="C14" s="257"/>
      <c r="D14" s="251"/>
      <c r="E14" s="258"/>
      <c r="F14" s="251"/>
      <c r="G14" s="251"/>
      <c r="H14" s="258"/>
      <c r="I14" s="258"/>
      <c r="J14" s="259"/>
      <c r="L14" s="1193"/>
      <c r="M14" s="259"/>
      <c r="O14" s="260"/>
    </row>
    <row r="15" spans="1:15" s="242" customFormat="1" ht="25.5" customHeight="1">
      <c r="A15" s="236" t="s">
        <v>106</v>
      </c>
      <c r="B15" s="237" t="s">
        <v>91</v>
      </c>
      <c r="C15" s="238"/>
      <c r="D15" s="239">
        <f aca="true" t="shared" si="9" ref="D15:D21">E15+F15</f>
        <v>18700</v>
      </c>
      <c r="E15" s="240">
        <v>9509</v>
      </c>
      <c r="F15" s="241">
        <v>9191</v>
      </c>
      <c r="G15" s="239">
        <f aca="true" t="shared" si="10" ref="G15:G21">H15+I15</f>
        <v>18594</v>
      </c>
      <c r="H15" s="240">
        <f>3150+2480+2063+1737</f>
        <v>9430</v>
      </c>
      <c r="I15" s="241">
        <f>3019+2397+2049+1699</f>
        <v>9164</v>
      </c>
      <c r="J15" s="239">
        <f aca="true" t="shared" si="11" ref="J15:J21">K15+L15</f>
        <v>18003</v>
      </c>
      <c r="K15" s="240">
        <v>9036</v>
      </c>
      <c r="L15" s="241">
        <v>8967</v>
      </c>
      <c r="M15" s="246">
        <f aca="true" t="shared" si="12" ref="M15:M21">N15+O15</f>
        <v>18201</v>
      </c>
      <c r="N15" s="240">
        <v>9174</v>
      </c>
      <c r="O15" s="241">
        <v>9027</v>
      </c>
    </row>
    <row r="16" spans="1:15" s="242" customFormat="1" ht="25.5" customHeight="1">
      <c r="A16" s="243"/>
      <c r="B16" s="244" t="s">
        <v>92</v>
      </c>
      <c r="C16" s="245"/>
      <c r="D16" s="246">
        <f t="shared" si="9"/>
        <v>17862</v>
      </c>
      <c r="E16" s="247">
        <v>9054</v>
      </c>
      <c r="F16" s="248">
        <v>8808</v>
      </c>
      <c r="G16" s="246">
        <f t="shared" si="10"/>
        <v>18796</v>
      </c>
      <c r="H16" s="247">
        <f>3189+2480+2097+1741</f>
        <v>9507</v>
      </c>
      <c r="I16" s="248">
        <f>3111+2404+2089+1685</f>
        <v>9289</v>
      </c>
      <c r="J16" s="246">
        <f t="shared" si="11"/>
        <v>18636</v>
      </c>
      <c r="K16" s="247">
        <v>9427</v>
      </c>
      <c r="L16" s="248">
        <v>9209</v>
      </c>
      <c r="M16" s="246">
        <f t="shared" si="12"/>
        <v>18100</v>
      </c>
      <c r="N16" s="247">
        <v>9121</v>
      </c>
      <c r="O16" s="248">
        <v>8979</v>
      </c>
    </row>
    <row r="17" spans="1:15" s="242" customFormat="1" ht="25.5" customHeight="1">
      <c r="A17" s="243"/>
      <c r="B17" s="244" t="s">
        <v>93</v>
      </c>
      <c r="C17" s="245"/>
      <c r="D17" s="246">
        <f t="shared" si="9"/>
        <v>18445</v>
      </c>
      <c r="E17" s="247">
        <v>9364</v>
      </c>
      <c r="F17" s="248">
        <v>9081</v>
      </c>
      <c r="G17" s="246">
        <f t="shared" si="10"/>
        <v>17888</v>
      </c>
      <c r="H17" s="247">
        <f>3083+2356+2005+1619</f>
        <v>9063</v>
      </c>
      <c r="I17" s="248">
        <f>2968+2238+1935+1684</f>
        <v>8825</v>
      </c>
      <c r="J17" s="246">
        <f t="shared" si="11"/>
        <v>18725</v>
      </c>
      <c r="K17" s="247">
        <v>9500</v>
      </c>
      <c r="L17" s="248">
        <v>9225</v>
      </c>
      <c r="M17" s="246">
        <f t="shared" si="12"/>
        <v>18601</v>
      </c>
      <c r="N17" s="247">
        <v>9507</v>
      </c>
      <c r="O17" s="248">
        <v>9094</v>
      </c>
    </row>
    <row r="18" spans="1:15" s="242" customFormat="1" ht="25.5" customHeight="1">
      <c r="A18" s="243"/>
      <c r="B18" s="244" t="s">
        <v>94</v>
      </c>
      <c r="C18" s="245"/>
      <c r="D18" s="246">
        <f t="shared" si="9"/>
        <v>18986</v>
      </c>
      <c r="E18" s="247">
        <v>9523</v>
      </c>
      <c r="F18" s="248">
        <v>9463</v>
      </c>
      <c r="G18" s="246">
        <f t="shared" si="10"/>
        <v>18368</v>
      </c>
      <c r="H18" s="247">
        <f>3112+2368+2068+1728</f>
        <v>9276</v>
      </c>
      <c r="I18" s="248">
        <f>3032+2322+2075+1663</f>
        <v>9092</v>
      </c>
      <c r="J18" s="246">
        <f t="shared" si="11"/>
        <v>17819</v>
      </c>
      <c r="K18" s="247">
        <v>9034</v>
      </c>
      <c r="L18" s="248">
        <v>8785</v>
      </c>
      <c r="M18" s="246">
        <f t="shared" si="12"/>
        <v>18681</v>
      </c>
      <c r="N18" s="247">
        <v>9434</v>
      </c>
      <c r="O18" s="248">
        <v>9247</v>
      </c>
    </row>
    <row r="19" spans="1:15" s="242" customFormat="1" ht="25.5" customHeight="1">
      <c r="A19" s="243"/>
      <c r="B19" s="244" t="s">
        <v>95</v>
      </c>
      <c r="C19" s="245"/>
      <c r="D19" s="246">
        <f t="shared" si="9"/>
        <v>19047</v>
      </c>
      <c r="E19" s="247">
        <v>9534</v>
      </c>
      <c r="F19" s="248">
        <v>9513</v>
      </c>
      <c r="G19" s="246">
        <f t="shared" si="10"/>
        <v>18959</v>
      </c>
      <c r="H19" s="247">
        <f>3140+2439+2105+1810</f>
        <v>9494</v>
      </c>
      <c r="I19" s="248">
        <f>3218+2382+2072+1793</f>
        <v>9465</v>
      </c>
      <c r="J19" s="246">
        <f t="shared" si="11"/>
        <v>18309</v>
      </c>
      <c r="K19" s="247">
        <v>9261</v>
      </c>
      <c r="L19" s="248">
        <v>9048</v>
      </c>
      <c r="M19" s="246">
        <f t="shared" si="12"/>
        <v>17788</v>
      </c>
      <c r="N19" s="247">
        <v>9054</v>
      </c>
      <c r="O19" s="248">
        <v>8734</v>
      </c>
    </row>
    <row r="20" spans="1:15" s="242" customFormat="1" ht="25.5" customHeight="1">
      <c r="A20" s="243"/>
      <c r="B20" s="244" t="s">
        <v>96</v>
      </c>
      <c r="C20" s="245"/>
      <c r="D20" s="246">
        <f t="shared" si="9"/>
        <v>20005</v>
      </c>
      <c r="E20" s="247">
        <v>10087</v>
      </c>
      <c r="F20" s="248">
        <v>9918</v>
      </c>
      <c r="G20" s="246">
        <f t="shared" si="10"/>
        <v>18814</v>
      </c>
      <c r="H20" s="247">
        <f>3299+2344+2104+1659</f>
        <v>9406</v>
      </c>
      <c r="I20" s="248">
        <f>3186+2372+2063+1787</f>
        <v>9408</v>
      </c>
      <c r="J20" s="246">
        <f t="shared" si="11"/>
        <v>18735</v>
      </c>
      <c r="K20" s="247">
        <v>9375</v>
      </c>
      <c r="L20" s="248">
        <v>9360</v>
      </c>
      <c r="M20" s="246">
        <f t="shared" si="12"/>
        <v>18178</v>
      </c>
      <c r="N20" s="247">
        <v>9200</v>
      </c>
      <c r="O20" s="248">
        <v>8978</v>
      </c>
    </row>
    <row r="21" spans="1:15" s="242" customFormat="1" ht="25.5" customHeight="1">
      <c r="A21" s="243"/>
      <c r="B21" s="244" t="s">
        <v>96</v>
      </c>
      <c r="C21" s="249" t="s">
        <v>107</v>
      </c>
      <c r="D21" s="246">
        <f t="shared" si="9"/>
        <v>5692</v>
      </c>
      <c r="E21" s="247">
        <v>3264</v>
      </c>
      <c r="F21" s="248">
        <v>2428</v>
      </c>
      <c r="G21" s="246">
        <f t="shared" si="10"/>
        <v>5094</v>
      </c>
      <c r="H21" s="247">
        <f>1156+722+647+528</f>
        <v>3053</v>
      </c>
      <c r="I21" s="248">
        <f>795+496+406+344</f>
        <v>2041</v>
      </c>
      <c r="J21" s="246">
        <f t="shared" si="11"/>
        <v>4177</v>
      </c>
      <c r="K21" s="247">
        <v>2504</v>
      </c>
      <c r="L21" s="248">
        <v>1673</v>
      </c>
      <c r="M21" s="246">
        <f t="shared" si="12"/>
        <v>4458</v>
      </c>
      <c r="N21" s="247">
        <v>2638</v>
      </c>
      <c r="O21" s="248">
        <v>1820</v>
      </c>
    </row>
    <row r="22" spans="1:15" s="242" customFormat="1" ht="25.5" customHeight="1">
      <c r="A22" s="250" t="s">
        <v>5</v>
      </c>
      <c r="B22" s="251"/>
      <c r="C22" s="252"/>
      <c r="D22" s="253">
        <f>SUM(D15:D21)</f>
        <v>118737</v>
      </c>
      <c r="E22" s="254">
        <f>SUM(E15:E21)</f>
        <v>60335</v>
      </c>
      <c r="F22" s="255">
        <f>D22-E22</f>
        <v>58402</v>
      </c>
      <c r="G22" s="253">
        <f aca="true" t="shared" si="13" ref="G22:L22">SUM(G15:G21)</f>
        <v>116513</v>
      </c>
      <c r="H22" s="254">
        <f t="shared" si="13"/>
        <v>59229</v>
      </c>
      <c r="I22" s="255">
        <f t="shared" si="13"/>
        <v>57284</v>
      </c>
      <c r="J22" s="253">
        <f t="shared" si="13"/>
        <v>114404</v>
      </c>
      <c r="K22" s="254">
        <f t="shared" si="13"/>
        <v>58137</v>
      </c>
      <c r="L22" s="255">
        <f t="shared" si="13"/>
        <v>56267</v>
      </c>
      <c r="M22" s="239">
        <f>SUM(M15:M21)</f>
        <v>114007</v>
      </c>
      <c r="N22" s="254">
        <f>SUM(N15:N21)</f>
        <v>58128</v>
      </c>
      <c r="O22" s="255">
        <f>SUM(O15:O21)</f>
        <v>55879</v>
      </c>
    </row>
    <row r="23" spans="1:15" s="242" customFormat="1" ht="21.75" customHeight="1">
      <c r="A23" s="261" t="s">
        <v>53</v>
      </c>
      <c r="B23" s="259"/>
      <c r="C23" s="259"/>
      <c r="D23" s="262"/>
      <c r="E23" s="262"/>
      <c r="F23" s="262"/>
      <c r="G23" s="262"/>
      <c r="H23" s="262"/>
      <c r="I23" s="262"/>
      <c r="J23" s="259"/>
      <c r="L23" s="259"/>
      <c r="M23" s="259"/>
      <c r="O23" s="263"/>
    </row>
    <row r="24" spans="1:15" s="242" customFormat="1" ht="25.5" customHeight="1">
      <c r="A24" s="236" t="s">
        <v>106</v>
      </c>
      <c r="B24" s="237" t="s">
        <v>91</v>
      </c>
      <c r="C24" s="238"/>
      <c r="D24" s="239">
        <f aca="true" t="shared" si="14" ref="D24:I24">D6-D15</f>
        <v>825</v>
      </c>
      <c r="E24" s="240">
        <f t="shared" si="14"/>
        <v>419</v>
      </c>
      <c r="F24" s="241">
        <f t="shared" si="14"/>
        <v>406</v>
      </c>
      <c r="G24" s="239">
        <f t="shared" si="14"/>
        <v>843</v>
      </c>
      <c r="H24" s="240">
        <f t="shared" si="14"/>
        <v>431</v>
      </c>
      <c r="I24" s="241">
        <f t="shared" si="14"/>
        <v>412</v>
      </c>
      <c r="J24" s="239">
        <f aca="true" t="shared" si="15" ref="J24:J30">K24+L24</f>
        <v>828</v>
      </c>
      <c r="K24" s="240">
        <v>429</v>
      </c>
      <c r="L24" s="241">
        <v>399</v>
      </c>
      <c r="M24" s="246">
        <f aca="true" t="shared" si="16" ref="M24:M30">N24+O24</f>
        <v>847</v>
      </c>
      <c r="N24" s="240">
        <v>413</v>
      </c>
      <c r="O24" s="241">
        <v>434</v>
      </c>
    </row>
    <row r="25" spans="1:15" s="242" customFormat="1" ht="25.5" customHeight="1">
      <c r="A25" s="243"/>
      <c r="B25" s="244" t="s">
        <v>92</v>
      </c>
      <c r="C25" s="245"/>
      <c r="D25" s="246">
        <f aca="true" t="shared" si="17" ref="D25:I31">D7-D16</f>
        <v>716</v>
      </c>
      <c r="E25" s="247">
        <f t="shared" si="17"/>
        <v>366</v>
      </c>
      <c r="F25" s="248">
        <f t="shared" si="17"/>
        <v>350</v>
      </c>
      <c r="G25" s="246">
        <f t="shared" si="17"/>
        <v>827</v>
      </c>
      <c r="H25" s="247">
        <f t="shared" si="17"/>
        <v>430</v>
      </c>
      <c r="I25" s="248">
        <f t="shared" si="17"/>
        <v>397</v>
      </c>
      <c r="J25" s="246">
        <f t="shared" si="15"/>
        <v>832</v>
      </c>
      <c r="K25" s="247">
        <v>423</v>
      </c>
      <c r="L25" s="248">
        <v>409</v>
      </c>
      <c r="M25" s="246">
        <f t="shared" si="16"/>
        <v>815</v>
      </c>
      <c r="N25" s="247">
        <v>412</v>
      </c>
      <c r="O25" s="248">
        <v>403</v>
      </c>
    </row>
    <row r="26" spans="1:15" s="242" customFormat="1" ht="25.5" customHeight="1">
      <c r="A26" s="243"/>
      <c r="B26" s="244" t="s">
        <v>93</v>
      </c>
      <c r="C26" s="245"/>
      <c r="D26" s="246">
        <f aca="true" t="shared" si="18" ref="D26:F31">D8-D17</f>
        <v>734</v>
      </c>
      <c r="E26" s="247">
        <f t="shared" si="18"/>
        <v>369</v>
      </c>
      <c r="F26" s="248">
        <f t="shared" si="18"/>
        <v>365</v>
      </c>
      <c r="G26" s="246">
        <f t="shared" si="17"/>
        <v>712</v>
      </c>
      <c r="H26" s="247">
        <f t="shared" si="17"/>
        <v>363</v>
      </c>
      <c r="I26" s="248">
        <f t="shared" si="17"/>
        <v>349</v>
      </c>
      <c r="J26" s="246">
        <f t="shared" si="15"/>
        <v>823</v>
      </c>
      <c r="K26" s="247">
        <v>421</v>
      </c>
      <c r="L26" s="248">
        <v>402</v>
      </c>
      <c r="M26" s="246">
        <f t="shared" si="16"/>
        <v>824</v>
      </c>
      <c r="N26" s="247">
        <v>419</v>
      </c>
      <c r="O26" s="248">
        <v>405</v>
      </c>
    </row>
    <row r="27" spans="1:15" s="242" customFormat="1" ht="25.5" customHeight="1">
      <c r="A27" s="243"/>
      <c r="B27" s="244" t="s">
        <v>94</v>
      </c>
      <c r="C27" s="245"/>
      <c r="D27" s="246">
        <f t="shared" si="18"/>
        <v>730</v>
      </c>
      <c r="E27" s="247">
        <f t="shared" si="18"/>
        <v>340</v>
      </c>
      <c r="F27" s="248">
        <f t="shared" si="18"/>
        <v>390</v>
      </c>
      <c r="G27" s="246">
        <f t="shared" si="17"/>
        <v>737</v>
      </c>
      <c r="H27" s="247">
        <f t="shared" si="17"/>
        <v>372</v>
      </c>
      <c r="I27" s="248">
        <f t="shared" si="17"/>
        <v>365</v>
      </c>
      <c r="J27" s="246">
        <f t="shared" si="15"/>
        <v>703</v>
      </c>
      <c r="K27" s="247">
        <v>368</v>
      </c>
      <c r="L27" s="248">
        <v>335</v>
      </c>
      <c r="M27" s="246">
        <f t="shared" si="16"/>
        <v>807</v>
      </c>
      <c r="N27" s="247">
        <v>415</v>
      </c>
      <c r="O27" s="248">
        <v>392</v>
      </c>
    </row>
    <row r="28" spans="1:15" s="242" customFormat="1" ht="25.5" customHeight="1">
      <c r="A28" s="243"/>
      <c r="B28" s="244" t="s">
        <v>95</v>
      </c>
      <c r="C28" s="245"/>
      <c r="D28" s="246">
        <f t="shared" si="18"/>
        <v>751</v>
      </c>
      <c r="E28" s="247">
        <f t="shared" si="18"/>
        <v>363</v>
      </c>
      <c r="F28" s="248">
        <f t="shared" si="18"/>
        <v>388</v>
      </c>
      <c r="G28" s="246">
        <f t="shared" si="17"/>
        <v>724</v>
      </c>
      <c r="H28" s="247">
        <f t="shared" si="17"/>
        <v>339</v>
      </c>
      <c r="I28" s="248">
        <f t="shared" si="17"/>
        <v>385</v>
      </c>
      <c r="J28" s="246">
        <f t="shared" si="15"/>
        <v>735</v>
      </c>
      <c r="K28" s="247">
        <v>366</v>
      </c>
      <c r="L28" s="248">
        <v>369</v>
      </c>
      <c r="M28" s="246">
        <f t="shared" si="16"/>
        <v>699</v>
      </c>
      <c r="N28" s="247">
        <v>362</v>
      </c>
      <c r="O28" s="248">
        <v>337</v>
      </c>
    </row>
    <row r="29" spans="1:15" s="242" customFormat="1" ht="25.5" customHeight="1">
      <c r="A29" s="243"/>
      <c r="B29" s="244" t="s">
        <v>96</v>
      </c>
      <c r="C29" s="245"/>
      <c r="D29" s="246">
        <f t="shared" si="18"/>
        <v>796</v>
      </c>
      <c r="E29" s="247">
        <f t="shared" si="18"/>
        <v>393</v>
      </c>
      <c r="F29" s="248">
        <f t="shared" si="18"/>
        <v>403</v>
      </c>
      <c r="G29" s="246">
        <f t="shared" si="17"/>
        <v>754</v>
      </c>
      <c r="H29" s="247">
        <f t="shared" si="17"/>
        <v>360</v>
      </c>
      <c r="I29" s="248">
        <f t="shared" si="17"/>
        <v>394</v>
      </c>
      <c r="J29" s="246">
        <f t="shared" si="15"/>
        <v>721</v>
      </c>
      <c r="K29" s="247">
        <v>340</v>
      </c>
      <c r="L29" s="248">
        <v>381</v>
      </c>
      <c r="M29" s="246">
        <f t="shared" si="16"/>
        <v>723</v>
      </c>
      <c r="N29" s="247">
        <v>370</v>
      </c>
      <c r="O29" s="248">
        <v>353</v>
      </c>
    </row>
    <row r="30" spans="1:15" s="242" customFormat="1" ht="25.5" customHeight="1">
      <c r="A30" s="243"/>
      <c r="B30" s="244" t="s">
        <v>96</v>
      </c>
      <c r="C30" s="249" t="s">
        <v>107</v>
      </c>
      <c r="D30" s="246">
        <f t="shared" si="18"/>
        <v>273</v>
      </c>
      <c r="E30" s="247">
        <f t="shared" si="18"/>
        <v>144</v>
      </c>
      <c r="F30" s="248">
        <f t="shared" si="18"/>
        <v>129</v>
      </c>
      <c r="G30" s="246">
        <f t="shared" si="17"/>
        <v>277</v>
      </c>
      <c r="H30" s="247">
        <f t="shared" si="17"/>
        <v>163</v>
      </c>
      <c r="I30" s="248">
        <f t="shared" si="17"/>
        <v>114</v>
      </c>
      <c r="J30" s="246">
        <f t="shared" si="15"/>
        <v>264</v>
      </c>
      <c r="K30" s="247">
        <v>157</v>
      </c>
      <c r="L30" s="248">
        <v>107</v>
      </c>
      <c r="M30" s="246">
        <f t="shared" si="16"/>
        <v>300</v>
      </c>
      <c r="N30" s="247">
        <v>174</v>
      </c>
      <c r="O30" s="248">
        <v>126</v>
      </c>
    </row>
    <row r="31" spans="1:15" s="242" customFormat="1" ht="25.5" customHeight="1">
      <c r="A31" s="250" t="s">
        <v>5</v>
      </c>
      <c r="B31" s="251"/>
      <c r="C31" s="264"/>
      <c r="D31" s="253">
        <f t="shared" si="18"/>
        <v>4825</v>
      </c>
      <c r="E31" s="254">
        <f t="shared" si="18"/>
        <v>2394</v>
      </c>
      <c r="F31" s="255">
        <f t="shared" si="18"/>
        <v>2431</v>
      </c>
      <c r="G31" s="253">
        <f t="shared" si="17"/>
        <v>4874</v>
      </c>
      <c r="H31" s="254">
        <f t="shared" si="17"/>
        <v>2458</v>
      </c>
      <c r="I31" s="255">
        <f t="shared" si="17"/>
        <v>2416</v>
      </c>
      <c r="J31" s="253">
        <f aca="true" t="shared" si="19" ref="J31:O31">SUM(J24:J30)</f>
        <v>4906</v>
      </c>
      <c r="K31" s="254">
        <f t="shared" si="19"/>
        <v>2504</v>
      </c>
      <c r="L31" s="255">
        <f t="shared" si="19"/>
        <v>2402</v>
      </c>
      <c r="M31" s="253">
        <f t="shared" si="19"/>
        <v>5015</v>
      </c>
      <c r="N31" s="254">
        <f t="shared" si="19"/>
        <v>2565</v>
      </c>
      <c r="O31" s="255">
        <f t="shared" si="19"/>
        <v>2450</v>
      </c>
    </row>
    <row r="32" ht="21.75" customHeight="1">
      <c r="B32" s="227" t="s">
        <v>108</v>
      </c>
    </row>
  </sheetData>
  <mergeCells count="5">
    <mergeCell ref="M3:O3"/>
    <mergeCell ref="A3:C4"/>
    <mergeCell ref="G3:I3"/>
    <mergeCell ref="J3:L3"/>
    <mergeCell ref="D3:F3"/>
  </mergeCells>
  <printOptions/>
  <pageMargins left="0.68" right="0.35" top="0.75" bottom="0.23" header="0.5" footer="0.19"/>
  <pageSetup horizontalDpi="600" verticalDpi="600" orientation="portrait" paperSize="9" r:id="rId1"/>
  <headerFooter alignWithMargins="0">
    <oddHeader>&amp;C&amp;"Times New Roman,Regular"&amp;11- 14 -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of Education</dc:creator>
  <cp:keywords/>
  <dc:description/>
  <cp:lastModifiedBy>meera</cp:lastModifiedBy>
  <cp:lastPrinted>2008-09-23T06:42:33Z</cp:lastPrinted>
  <dcterms:created xsi:type="dcterms:W3CDTF">2007-09-10T05:31:42Z</dcterms:created>
  <dcterms:modified xsi:type="dcterms:W3CDTF">2008-09-23T06:42:38Z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77a4e4d3-2ca7-421f-9da1-6ac8c8dda7bd</vt:lpwstr>
  </property>
  <property fmtid="{D5CDD505-2E9C-101B-9397-08002B2CF9AE}" pid="5" name="PublishingVariationRelationshipLinkField">
    <vt:lpwstr>http://statsmauritius.gov.mu/Relationships List/3301_.000, /Relationships List/3301_.000</vt:lpwstr>
  </property>
</Properties>
</file>