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DP\NSDP 2026\NSDP Hist Series 2026\NSDP 30 Jan 2026\"/>
    </mc:Choice>
  </mc:AlternateContent>
  <xr:revisionPtr revIDLastSave="0" documentId="13_ncr:1_{459F7149-C559-41D9-BC2F-DF317DE596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T24" i="7" l="1"/>
  <c r="BS24" i="7"/>
  <c r="BR24" i="7"/>
  <c r="BQ24" i="7"/>
  <c r="BP24" i="7"/>
  <c r="BO24" i="7"/>
  <c r="BN24" i="7"/>
  <c r="BM24" i="7"/>
  <c r="BL24" i="7"/>
  <c r="BK24" i="7"/>
  <c r="BJ24" i="7"/>
  <c r="BI24" i="7"/>
  <c r="BH24" i="7"/>
  <c r="BG24" i="7"/>
  <c r="BF24" i="7"/>
  <c r="BE24" i="7"/>
  <c r="BD24" i="7"/>
  <c r="BC24" i="7"/>
  <c r="BB24" i="7"/>
  <c r="BA24" i="7"/>
  <c r="AZ24" i="7"/>
  <c r="AY24" i="7"/>
  <c r="AX24" i="7"/>
  <c r="T21" i="7"/>
  <c r="T19" i="7" s="1"/>
  <c r="S21" i="7"/>
  <c r="S19" i="7" s="1"/>
  <c r="R21" i="7"/>
  <c r="R19" i="7" s="1"/>
  <c r="Q21" i="7"/>
  <c r="P21" i="7"/>
  <c r="P19" i="7" s="1"/>
  <c r="O21" i="7"/>
  <c r="N21" i="7"/>
  <c r="N19" i="7" s="1"/>
  <c r="M21" i="7"/>
  <c r="L21" i="7"/>
  <c r="L19" i="7" s="1"/>
  <c r="L8" i="7" s="1"/>
  <c r="K21" i="7"/>
  <c r="K19" i="7" s="1"/>
  <c r="J21" i="7"/>
  <c r="J19" i="7" s="1"/>
  <c r="I21" i="7"/>
  <c r="H21" i="7"/>
  <c r="H19" i="7" s="1"/>
  <c r="H8" i="7" s="1"/>
  <c r="G21" i="7"/>
  <c r="F21" i="7"/>
  <c r="F19" i="7" s="1"/>
  <c r="F8" i="7" s="1"/>
  <c r="E21" i="7"/>
  <c r="D21" i="7"/>
  <c r="D19" i="7" s="1"/>
  <c r="D8" i="7" s="1"/>
  <c r="C21" i="7"/>
  <c r="C19" i="7" s="1"/>
  <c r="B21" i="7"/>
  <c r="B19" i="7" s="1"/>
  <c r="BT19" i="7"/>
  <c r="BS19" i="7"/>
  <c r="BR19" i="7"/>
  <c r="BQ19" i="7"/>
  <c r="BP19" i="7"/>
  <c r="BO19" i="7"/>
  <c r="BN19" i="7"/>
  <c r="BM19" i="7"/>
  <c r="BL19" i="7"/>
  <c r="BK19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Q19" i="7"/>
  <c r="O19" i="7"/>
  <c r="M19" i="7"/>
  <c r="I19" i="7"/>
  <c r="G19" i="7"/>
  <c r="E19" i="7"/>
  <c r="AD17" i="7"/>
  <c r="AD14" i="7" s="1"/>
  <c r="AC17" i="7"/>
  <c r="BL15" i="7"/>
  <c r="AD15" i="7"/>
  <c r="AC15" i="7"/>
  <c r="AC14" i="7" s="1"/>
  <c r="AB15" i="7"/>
  <c r="AA15" i="7"/>
  <c r="AA14" i="7" s="1"/>
  <c r="Z15" i="7"/>
  <c r="Z14" i="7" s="1"/>
  <c r="Y15" i="7"/>
  <c r="Y14" i="7" s="1"/>
  <c r="X15" i="7"/>
  <c r="W15" i="7"/>
  <c r="W14" i="7" s="1"/>
  <c r="V15" i="7"/>
  <c r="U15" i="7"/>
  <c r="U14" i="7" s="1"/>
  <c r="T15" i="7"/>
  <c r="S15" i="7"/>
  <c r="S14" i="7" s="1"/>
  <c r="R15" i="7"/>
  <c r="R14" i="7" s="1"/>
  <c r="Q15" i="7"/>
  <c r="Q14" i="7" s="1"/>
  <c r="P15" i="7"/>
  <c r="O15" i="7"/>
  <c r="O14" i="7" s="1"/>
  <c r="N15" i="7"/>
  <c r="M15" i="7"/>
  <c r="M14" i="7" s="1"/>
  <c r="L15" i="7"/>
  <c r="K15" i="7"/>
  <c r="K14" i="7" s="1"/>
  <c r="J15" i="7"/>
  <c r="J14" i="7" s="1"/>
  <c r="I15" i="7"/>
  <c r="I14" i="7" s="1"/>
  <c r="H15" i="7"/>
  <c r="G15" i="7"/>
  <c r="G14" i="7" s="1"/>
  <c r="F15" i="7"/>
  <c r="E15" i="7"/>
  <c r="E14" i="7" s="1"/>
  <c r="D15" i="7"/>
  <c r="C15" i="7"/>
  <c r="C14" i="7" s="1"/>
  <c r="B15" i="7"/>
  <c r="B14" i="7" s="1"/>
  <c r="BT14" i="7"/>
  <c r="BS14" i="7"/>
  <c r="BR14" i="7"/>
  <c r="BQ14" i="7"/>
  <c r="BP14" i="7"/>
  <c r="BO14" i="7"/>
  <c r="BN14" i="7"/>
  <c r="BM14" i="7"/>
  <c r="BL14" i="7"/>
  <c r="BK14" i="7"/>
  <c r="BJ14" i="7"/>
  <c r="BI14" i="7"/>
  <c r="BH14" i="7"/>
  <c r="BG14" i="7"/>
  <c r="BF14" i="7"/>
  <c r="BE14" i="7"/>
  <c r="BD14" i="7"/>
  <c r="BC14" i="7"/>
  <c r="BB14" i="7"/>
  <c r="BA14" i="7"/>
  <c r="AZ14" i="7"/>
  <c r="AY14" i="7"/>
  <c r="AX14" i="7"/>
  <c r="AW14" i="7"/>
  <c r="AV14" i="7"/>
  <c r="AU14" i="7"/>
  <c r="AT14" i="7"/>
  <c r="AS14" i="7"/>
  <c r="AR14" i="7"/>
  <c r="AQ14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B14" i="7"/>
  <c r="X14" i="7"/>
  <c r="V14" i="7"/>
  <c r="T14" i="7"/>
  <c r="P14" i="7"/>
  <c r="N14" i="7"/>
  <c r="L14" i="7"/>
  <c r="H14" i="7"/>
  <c r="F14" i="7"/>
  <c r="D14" i="7"/>
  <c r="AU12" i="7"/>
  <c r="AU9" i="7" s="1"/>
  <c r="AU8" i="7" s="1"/>
  <c r="AT12" i="7"/>
  <c r="AS12" i="7"/>
  <c r="AR12" i="7"/>
  <c r="AQ12" i="7"/>
  <c r="AP12" i="7"/>
  <c r="AO12" i="7"/>
  <c r="AN12" i="7"/>
  <c r="AM12" i="7"/>
  <c r="AM9" i="7" s="1"/>
  <c r="AM8" i="7" s="1"/>
  <c r="AL12" i="7"/>
  <c r="AK12" i="7"/>
  <c r="AJ12" i="7"/>
  <c r="AI12" i="7"/>
  <c r="AH12" i="7"/>
  <c r="AG12" i="7"/>
  <c r="AF12" i="7"/>
  <c r="AE12" i="7"/>
  <c r="AE9" i="7" s="1"/>
  <c r="AE8" i="7" s="1"/>
  <c r="AD12" i="7"/>
  <c r="AD9" i="7" s="1"/>
  <c r="AD8" i="7" s="1"/>
  <c r="AC12" i="7"/>
  <c r="AB12" i="7"/>
  <c r="AA12" i="7"/>
  <c r="Z12" i="7"/>
  <c r="Y12" i="7"/>
  <c r="X12" i="7"/>
  <c r="W12" i="7"/>
  <c r="W9" i="7" s="1"/>
  <c r="W8" i="7" s="1"/>
  <c r="V12" i="7"/>
  <c r="V9" i="7" s="1"/>
  <c r="V8" i="7" s="1"/>
  <c r="U12" i="7"/>
  <c r="T12" i="7"/>
  <c r="S12" i="7"/>
  <c r="R12" i="7"/>
  <c r="Q12" i="7"/>
  <c r="P12" i="7"/>
  <c r="P9" i="7" s="1"/>
  <c r="P8" i="7" s="1"/>
  <c r="O12" i="7"/>
  <c r="O9" i="7" s="1"/>
  <c r="O8" i="7" s="1"/>
  <c r="N12" i="7"/>
  <c r="N9" i="7" s="1"/>
  <c r="N8" i="7" s="1"/>
  <c r="M12" i="7"/>
  <c r="AU11" i="7"/>
  <c r="AT11" i="7"/>
  <c r="AS11" i="7"/>
  <c r="AR11" i="7"/>
  <c r="AQ11" i="7"/>
  <c r="AP11" i="7"/>
  <c r="AO11" i="7"/>
  <c r="AN11" i="7"/>
  <c r="AM11" i="7"/>
  <c r="AL11" i="7"/>
  <c r="AK11" i="7"/>
  <c r="AJ11" i="7"/>
  <c r="AI11" i="7"/>
  <c r="AG11" i="7"/>
  <c r="AF11" i="7"/>
  <c r="AF9" i="7" s="1"/>
  <c r="AF8" i="7" s="1"/>
  <c r="AE11" i="7"/>
  <c r="AD11" i="7"/>
  <c r="AC11" i="7"/>
  <c r="AB11" i="7"/>
  <c r="AB9" i="7" s="1"/>
  <c r="AB8" i="7" s="1"/>
  <c r="AA11" i="7"/>
  <c r="Z11" i="7"/>
  <c r="Y11" i="7"/>
  <c r="X11" i="7"/>
  <c r="X9" i="7" s="1"/>
  <c r="X8" i="7" s="1"/>
  <c r="W11" i="7"/>
  <c r="V11" i="7"/>
  <c r="U11" i="7"/>
  <c r="T11" i="7"/>
  <c r="T9" i="7" s="1"/>
  <c r="AU10" i="7"/>
  <c r="AT10" i="7"/>
  <c r="AT9" i="7" s="1"/>
  <c r="AT8" i="7" s="1"/>
  <c r="AS10" i="7"/>
  <c r="AS9" i="7" s="1"/>
  <c r="AS8" i="7" s="1"/>
  <c r="AR10" i="7"/>
  <c r="AR9" i="7" s="1"/>
  <c r="AR8" i="7" s="1"/>
  <c r="AQ10" i="7"/>
  <c r="AP10" i="7"/>
  <c r="AO10" i="7"/>
  <c r="AN10" i="7"/>
  <c r="AN9" i="7" s="1"/>
  <c r="AN8" i="7" s="1"/>
  <c r="AM10" i="7"/>
  <c r="AL10" i="7"/>
  <c r="AL9" i="7" s="1"/>
  <c r="AL8" i="7" s="1"/>
  <c r="AK10" i="7"/>
  <c r="AK9" i="7" s="1"/>
  <c r="AK8" i="7" s="1"/>
  <c r="AJ10" i="7"/>
  <c r="AJ9" i="7" s="1"/>
  <c r="AJ8" i="7" s="1"/>
  <c r="BT9" i="7"/>
  <c r="BS9" i="7"/>
  <c r="BS8" i="7" s="1"/>
  <c r="BR9" i="7"/>
  <c r="BQ9" i="7"/>
  <c r="BQ8" i="7" s="1"/>
  <c r="BP9" i="7"/>
  <c r="BO9" i="7"/>
  <c r="BO8" i="7" s="1"/>
  <c r="BN9" i="7"/>
  <c r="BN8" i="7" s="1"/>
  <c r="BM9" i="7"/>
  <c r="BM8" i="7" s="1"/>
  <c r="BL9" i="7"/>
  <c r="BK9" i="7"/>
  <c r="BK8" i="7" s="1"/>
  <c r="BJ9" i="7"/>
  <c r="BI9" i="7"/>
  <c r="BI8" i="7" s="1"/>
  <c r="BH9" i="7"/>
  <c r="BG9" i="7"/>
  <c r="BG8" i="7" s="1"/>
  <c r="BF9" i="7"/>
  <c r="BF8" i="7" s="1"/>
  <c r="BE9" i="7"/>
  <c r="BE8" i="7" s="1"/>
  <c r="BD9" i="7"/>
  <c r="BC9" i="7"/>
  <c r="BC8" i="7" s="1"/>
  <c r="BB9" i="7"/>
  <c r="BA9" i="7"/>
  <c r="BA8" i="7" s="1"/>
  <c r="AZ9" i="7"/>
  <c r="AY9" i="7"/>
  <c r="AY8" i="7" s="1"/>
  <c r="AX9" i="7"/>
  <c r="AX8" i="7" s="1"/>
  <c r="AW9" i="7"/>
  <c r="AW8" i="7" s="1"/>
  <c r="AV9" i="7"/>
  <c r="AQ9" i="7"/>
  <c r="AQ8" i="7" s="1"/>
  <c r="AP9" i="7"/>
  <c r="AP8" i="7" s="1"/>
  <c r="AO9" i="7"/>
  <c r="AO8" i="7" s="1"/>
  <c r="AI9" i="7"/>
  <c r="AI8" i="7" s="1"/>
  <c r="AH9" i="7"/>
  <c r="AH8" i="7" s="1"/>
  <c r="AG9" i="7"/>
  <c r="AG8" i="7" s="1"/>
  <c r="AC9" i="7"/>
  <c r="AA9" i="7"/>
  <c r="AA8" i="7" s="1"/>
  <c r="Z9" i="7"/>
  <c r="Z8" i="7" s="1"/>
  <c r="Y9" i="7"/>
  <c r="Y8" i="7" s="1"/>
  <c r="U9" i="7"/>
  <c r="S9" i="7"/>
  <c r="R9" i="7"/>
  <c r="R8" i="7" s="1"/>
  <c r="Q9" i="7"/>
  <c r="Q8" i="7" s="1"/>
  <c r="M9" i="7"/>
  <c r="L9" i="7"/>
  <c r="K9" i="7"/>
  <c r="K8" i="7" s="1"/>
  <c r="J9" i="7"/>
  <c r="I9" i="7"/>
  <c r="I8" i="7" s="1"/>
  <c r="H9" i="7"/>
  <c r="G9" i="7"/>
  <c r="G8" i="7" s="1"/>
  <c r="F9" i="7"/>
  <c r="E9" i="7"/>
  <c r="D9" i="7"/>
  <c r="C9" i="7"/>
  <c r="C8" i="7" s="1"/>
  <c r="B9" i="7"/>
  <c r="BT8" i="7"/>
  <c r="BR8" i="7"/>
  <c r="BP8" i="7"/>
  <c r="BL8" i="7"/>
  <c r="BJ8" i="7"/>
  <c r="BH8" i="7"/>
  <c r="BD8" i="7"/>
  <c r="BB8" i="7"/>
  <c r="AZ8" i="7"/>
  <c r="AV8" i="7"/>
  <c r="S8" i="7" l="1"/>
  <c r="U8" i="7"/>
  <c r="T8" i="7"/>
  <c r="B8" i="7"/>
  <c r="J8" i="7"/>
  <c r="E8" i="7"/>
  <c r="M8" i="7"/>
  <c r="AC8" i="7"/>
</calcChain>
</file>

<file path=xl/sharedStrings.xml><?xml version="1.0" encoding="utf-8"?>
<sst xmlns="http://schemas.openxmlformats.org/spreadsheetml/2006/main" count="93" uniqueCount="33">
  <si>
    <t>CENTRAL GOVERNMENT DEBT</t>
  </si>
  <si>
    <t>Total gross outstanding debt</t>
  </si>
  <si>
    <t>Debt guaranteed by Central Government</t>
  </si>
  <si>
    <t>Long Term</t>
  </si>
  <si>
    <t>Medium Term</t>
  </si>
  <si>
    <t>Short Term</t>
  </si>
  <si>
    <t xml:space="preserve">1st Quarter </t>
  </si>
  <si>
    <t xml:space="preserve">2nd Quarter </t>
  </si>
  <si>
    <t xml:space="preserve">3rd Quarter </t>
  </si>
  <si>
    <t xml:space="preserve">4th Quarter </t>
  </si>
  <si>
    <r>
      <t>4th Quarter</t>
    </r>
    <r>
      <rPr>
        <b/>
        <vertAlign val="superscript"/>
        <sz val="10"/>
        <rFont val="Times New Roman"/>
        <family val="1"/>
      </rPr>
      <t xml:space="preserve"> </t>
    </r>
  </si>
  <si>
    <r>
      <t>2nd Quarter</t>
    </r>
    <r>
      <rPr>
        <b/>
        <vertAlign val="superscript"/>
        <sz val="10"/>
        <rFont val="Times New Roman"/>
        <family val="1"/>
      </rPr>
      <t xml:space="preserve"> </t>
    </r>
  </si>
  <si>
    <t>Figures may not add up to totals due to rounding</t>
  </si>
  <si>
    <t>Debt Stock as at end of the period (Mauritian Rupees in Million)</t>
  </si>
  <si>
    <r>
      <t>1st Quarter</t>
    </r>
    <r>
      <rPr>
        <b/>
        <sz val="10"/>
        <rFont val="Times New Roman"/>
        <family val="1"/>
      </rPr>
      <t xml:space="preserve"> </t>
    </r>
  </si>
  <si>
    <t>4th Quarter</t>
  </si>
  <si>
    <r>
      <t>2nd Quarter</t>
    </r>
    <r>
      <rPr>
        <b/>
        <sz val="10"/>
        <rFont val="Times New Roman"/>
        <family val="1"/>
      </rPr>
      <t xml:space="preserve"> </t>
    </r>
  </si>
  <si>
    <t>3rd Quarter</t>
  </si>
  <si>
    <t>2nd Quarter</t>
  </si>
  <si>
    <t>1st Quarter</t>
  </si>
  <si>
    <r>
      <rPr>
        <i/>
        <vertAlign val="superscript"/>
        <sz val="10"/>
        <rFont val="Times New Roman"/>
        <family val="1"/>
      </rPr>
      <t>1</t>
    </r>
    <r>
      <rPr>
        <i/>
        <sz val="10"/>
        <rFont val="Times New Roman"/>
        <family val="1"/>
      </rPr>
      <t xml:space="preserve"> Provisional</t>
    </r>
  </si>
  <si>
    <t>Non-guaranteed Domestic Debt of Extra Budgetary Units</t>
  </si>
  <si>
    <t>Non-guaranteed debt of Extra Budgetary Units</t>
  </si>
  <si>
    <t>Extra Budgetary Units - Domestic</t>
  </si>
  <si>
    <t>Extra Budgetary Units - Foreign</t>
  </si>
  <si>
    <t>External debt by maturity</t>
  </si>
  <si>
    <r>
      <t>Long Term</t>
    </r>
    <r>
      <rPr>
        <i/>
        <vertAlign val="superscript"/>
        <sz val="10"/>
        <rFont val="Times New Roman"/>
        <family val="1"/>
      </rPr>
      <t>3</t>
    </r>
  </si>
  <si>
    <r>
      <rPr>
        <i/>
        <vertAlign val="superscript"/>
        <sz val="10"/>
        <rFont val="Times New Roman"/>
        <family val="1"/>
      </rPr>
      <t xml:space="preserve">4 </t>
    </r>
    <r>
      <rPr>
        <i/>
        <sz val="10"/>
        <rFont val="Times New Roman"/>
        <family val="1"/>
      </rPr>
      <t xml:space="preserve">Central Government Debt does not include currency and deposits, pensions and other accounts payable. </t>
    </r>
  </si>
  <si>
    <t>Domestic debt by maturity</t>
  </si>
  <si>
    <r>
      <t>Short Term</t>
    </r>
    <r>
      <rPr>
        <i/>
        <vertAlign val="superscript"/>
        <sz val="10"/>
        <rFont val="Times New Roman"/>
        <family val="1"/>
      </rPr>
      <t>2</t>
    </r>
  </si>
  <si>
    <r>
      <rPr>
        <i/>
        <vertAlign val="superscript"/>
        <sz val="10"/>
        <rFont val="Times New Roman"/>
        <family val="1"/>
      </rPr>
      <t xml:space="preserve">2 </t>
    </r>
    <r>
      <rPr>
        <i/>
        <sz val="10"/>
        <rFont val="Times New Roman"/>
        <family val="1"/>
      </rPr>
      <t>Includes Government Securities issued for mopping up excess liquidity from 3rd quarter of 2014 to 4th quarter of 2019</t>
    </r>
  </si>
  <si>
    <r>
      <rPr>
        <i/>
        <vertAlign val="superscript"/>
        <sz val="10"/>
        <rFont val="Times New Roman"/>
        <family val="1"/>
      </rPr>
      <t>3</t>
    </r>
    <r>
      <rPr>
        <i/>
        <sz val="10"/>
        <rFont val="Times New Roman"/>
        <family val="1"/>
      </rPr>
      <t xml:space="preserve"> Includes IMF SDR Allocations</t>
    </r>
  </si>
  <si>
    <r>
      <t>4th Quarter</t>
    </r>
    <r>
      <rPr>
        <b/>
        <vertAlign val="superscript"/>
        <sz val="10"/>
        <rFont val="Times New Roman"/>
        <family val="1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</si>
</sst>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vertAlign val="superscript"/>
      <sz val="10"/>
      <name val="Times New Roman"/>
      <family val="1"/>
    </font>
    <font>
      <i/>
      <vertAlign val="superscript"/>
      <sz val="10"/>
      <name val="Times New Roman"/>
      <family val="1"/>
    </font>
    <font>
      <sz val="11"/>
      <color indexed="8"/>
      <name val="Calibri"/>
      <family val="2"/>
    </font>
    <font>
      <i/>
      <sz val="9"/>
      <name val="Times New Roman"/>
      <family val="1"/>
    </font>
    <font>
      <sz val="10"/>
      <color rgb="FFFF0000"/>
      <name val="Times New Roman"/>
      <family val="1"/>
    </font>
    <font>
      <i/>
      <sz val="10"/>
      <color rgb="FFFF0000"/>
      <name val="Times New Roman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indexed="9"/>
        <bgColor theme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60">
    <xf numFmtId="0" fontId="0" fillId="0" borderId="0" xfId="0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2" fillId="2" borderId="0" xfId="0" applyFont="1" applyFill="1"/>
    <xf numFmtId="0" fontId="11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2" xfId="0" applyFont="1" applyFill="1" applyBorder="1"/>
    <xf numFmtId="0" fontId="2" fillId="2" borderId="3" xfId="0" applyFont="1" applyFill="1" applyBorder="1"/>
    <xf numFmtId="0" fontId="3" fillId="3" borderId="5" xfId="1" applyFont="1" applyFill="1" applyBorder="1" applyAlignment="1">
      <alignment horizontal="center" vertical="top" wrapText="1"/>
    </xf>
    <xf numFmtId="0" fontId="3" fillId="3" borderId="6" xfId="1" applyFont="1" applyFill="1" applyBorder="1" applyAlignment="1">
      <alignment horizontal="center" vertical="top" wrapText="1"/>
    </xf>
    <xf numFmtId="0" fontId="3" fillId="3" borderId="9" xfId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7" xfId="0" applyFont="1" applyFill="1" applyBorder="1"/>
    <xf numFmtId="0" fontId="3" fillId="2" borderId="3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1" xfId="0" applyFont="1" applyFill="1" applyBorder="1"/>
    <xf numFmtId="3" fontId="3" fillId="2" borderId="1" xfId="0" applyNumberFormat="1" applyFont="1" applyFill="1" applyBorder="1"/>
    <xf numFmtId="3" fontId="3" fillId="2" borderId="3" xfId="0" applyNumberFormat="1" applyFont="1" applyFill="1" applyBorder="1"/>
    <xf numFmtId="0" fontId="4" fillId="2" borderId="1" xfId="0" applyFont="1" applyFill="1" applyBorder="1" applyAlignment="1">
      <alignment horizontal="left" indent="1"/>
    </xf>
    <xf numFmtId="3" fontId="4" fillId="2" borderId="1" xfId="0" applyNumberFormat="1" applyFont="1" applyFill="1" applyBorder="1"/>
    <xf numFmtId="3" fontId="4" fillId="2" borderId="3" xfId="0" applyNumberFormat="1" applyFont="1" applyFill="1" applyBorder="1"/>
    <xf numFmtId="0" fontId="4" fillId="2" borderId="1" xfId="0" applyFont="1" applyFill="1" applyBorder="1"/>
    <xf numFmtId="3" fontId="5" fillId="2" borderId="1" xfId="0" applyNumberFormat="1" applyFont="1" applyFill="1" applyBorder="1"/>
    <xf numFmtId="0" fontId="3" fillId="2" borderId="1" xfId="0" applyFont="1" applyFill="1" applyBorder="1" applyAlignment="1">
      <alignment wrapText="1"/>
    </xf>
    <xf numFmtId="1" fontId="4" fillId="2" borderId="1" xfId="0" applyNumberFormat="1" applyFont="1" applyFill="1" applyBorder="1"/>
    <xf numFmtId="0" fontId="4" fillId="2" borderId="0" xfId="0" applyFont="1" applyFill="1"/>
    <xf numFmtId="0" fontId="2" fillId="2" borderId="1" xfId="0" applyFont="1" applyFill="1" applyBorder="1"/>
    <xf numFmtId="1" fontId="3" fillId="2" borderId="1" xfId="0" applyNumberFormat="1" applyFont="1" applyFill="1" applyBorder="1"/>
    <xf numFmtId="1" fontId="3" fillId="2" borderId="3" xfId="0" applyNumberFormat="1" applyFont="1" applyFill="1" applyBorder="1"/>
    <xf numFmtId="0" fontId="4" fillId="2" borderId="6" xfId="0" applyFont="1" applyFill="1" applyBorder="1" applyAlignment="1">
      <alignment horizontal="left" indent="1"/>
    </xf>
    <xf numFmtId="0" fontId="3" fillId="2" borderId="8" xfId="0" applyFont="1" applyFill="1" applyBorder="1"/>
    <xf numFmtId="0" fontId="3" fillId="2" borderId="6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1" fontId="2" fillId="2" borderId="6" xfId="0" applyNumberFormat="1" applyFont="1" applyFill="1" applyBorder="1"/>
    <xf numFmtId="1" fontId="2" fillId="2" borderId="12" xfId="0" applyNumberFormat="1" applyFont="1" applyFill="1" applyBorder="1"/>
    <xf numFmtId="0" fontId="4" fillId="2" borderId="0" xfId="1" applyFont="1" applyFill="1"/>
    <xf numFmtId="0" fontId="12" fillId="2" borderId="0" xfId="0" applyFont="1" applyFill="1"/>
    <xf numFmtId="0" fontId="4" fillId="2" borderId="0" xfId="2" applyFont="1" applyFill="1" applyAlignment="1">
      <alignment horizontal="left"/>
    </xf>
    <xf numFmtId="0" fontId="4" fillId="2" borderId="0" xfId="2" applyFont="1" applyFill="1" applyAlignment="1">
      <alignment horizontal="left" vertical="top" wrapText="1"/>
    </xf>
    <xf numFmtId="0" fontId="10" fillId="2" borderId="0" xfId="2" applyFont="1" applyFill="1" applyAlignment="1">
      <alignment horizontal="left"/>
    </xf>
    <xf numFmtId="3" fontId="2" fillId="2" borderId="0" xfId="0" applyNumberFormat="1" applyFont="1" applyFill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1" fillId="2" borderId="0" xfId="0" applyFont="1" applyFill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/>
    </xf>
  </cellXfs>
  <cellStyles count="3">
    <cellStyle name="Normal" xfId="0" builtinId="0"/>
    <cellStyle name="Normal_Quarterly BOP 2001" xfId="1" xr:uid="{00000000-0005-0000-0000-000001000000}"/>
    <cellStyle name="Normal_stock310309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40"/>
  <sheetViews>
    <sheetView tabSelected="1" zoomScale="110" zoomScaleNormal="110" workbookViewId="0">
      <pane xSplit="1" ySplit="6" topLeftCell="BD7" activePane="bottomRight" state="frozen"/>
      <selection pane="topRight" activeCell="B1" sqref="B1"/>
      <selection pane="bottomLeft" activeCell="A7" sqref="A7"/>
      <selection pane="bottomRight" activeCell="BX10" sqref="BX10"/>
    </sheetView>
  </sheetViews>
  <sheetFormatPr defaultRowHeight="12.75" x14ac:dyDescent="0.2"/>
  <cols>
    <col min="1" max="1" width="30.85546875" style="3" customWidth="1"/>
    <col min="2" max="2" width="8.42578125" style="3" hidden="1" customWidth="1"/>
    <col min="3" max="3" width="7.5703125" style="3" hidden="1" customWidth="1"/>
    <col min="4" max="5" width="8.42578125" style="3" hidden="1" customWidth="1"/>
    <col min="6" max="6" width="7.5703125" style="3" hidden="1" customWidth="1"/>
    <col min="7" max="7" width="7.85546875" style="3" hidden="1" customWidth="1"/>
    <col min="8" max="8" width="8.42578125" style="3" hidden="1" customWidth="1"/>
    <col min="9" max="10" width="8.42578125" style="4" hidden="1" customWidth="1"/>
    <col min="11" max="12" width="7.85546875" style="4" hidden="1" customWidth="1"/>
    <col min="13" max="14" width="8.42578125" style="4" hidden="1" customWidth="1"/>
    <col min="15" max="15" width="8" style="3" hidden="1" customWidth="1"/>
    <col min="16" max="16" width="8.140625" style="3" hidden="1" customWidth="1"/>
    <col min="17" max="17" width="8.85546875" style="3" hidden="1" customWidth="1"/>
    <col min="18" max="18" width="8.42578125" style="3" hidden="1" customWidth="1"/>
    <col min="19" max="64" width="9.140625" style="3" hidden="1" customWidth="1"/>
    <col min="65" max="256" width="9.140625" style="3"/>
    <col min="257" max="257" width="30.85546875" style="3" customWidth="1"/>
    <col min="258" max="320" width="0" style="3" hidden="1" customWidth="1"/>
    <col min="321" max="512" width="9.140625" style="3"/>
    <col min="513" max="513" width="30.85546875" style="3" customWidth="1"/>
    <col min="514" max="576" width="0" style="3" hidden="1" customWidth="1"/>
    <col min="577" max="768" width="9.140625" style="3"/>
    <col min="769" max="769" width="30.85546875" style="3" customWidth="1"/>
    <col min="770" max="832" width="0" style="3" hidden="1" customWidth="1"/>
    <col min="833" max="1024" width="9.140625" style="3"/>
    <col min="1025" max="1025" width="30.85546875" style="3" customWidth="1"/>
    <col min="1026" max="1088" width="0" style="3" hidden="1" customWidth="1"/>
    <col min="1089" max="1280" width="9.140625" style="3"/>
    <col min="1281" max="1281" width="30.85546875" style="3" customWidth="1"/>
    <col min="1282" max="1344" width="0" style="3" hidden="1" customWidth="1"/>
    <col min="1345" max="1536" width="9.140625" style="3"/>
    <col min="1537" max="1537" width="30.85546875" style="3" customWidth="1"/>
    <col min="1538" max="1600" width="0" style="3" hidden="1" customWidth="1"/>
    <col min="1601" max="1792" width="9.140625" style="3"/>
    <col min="1793" max="1793" width="30.85546875" style="3" customWidth="1"/>
    <col min="1794" max="1856" width="0" style="3" hidden="1" customWidth="1"/>
    <col min="1857" max="2048" width="9.140625" style="3"/>
    <col min="2049" max="2049" width="30.85546875" style="3" customWidth="1"/>
    <col min="2050" max="2112" width="0" style="3" hidden="1" customWidth="1"/>
    <col min="2113" max="2304" width="9.140625" style="3"/>
    <col min="2305" max="2305" width="30.85546875" style="3" customWidth="1"/>
    <col min="2306" max="2368" width="0" style="3" hidden="1" customWidth="1"/>
    <col min="2369" max="2560" width="9.140625" style="3"/>
    <col min="2561" max="2561" width="30.85546875" style="3" customWidth="1"/>
    <col min="2562" max="2624" width="0" style="3" hidden="1" customWidth="1"/>
    <col min="2625" max="2816" width="9.140625" style="3"/>
    <col min="2817" max="2817" width="30.85546875" style="3" customWidth="1"/>
    <col min="2818" max="2880" width="0" style="3" hidden="1" customWidth="1"/>
    <col min="2881" max="3072" width="9.140625" style="3"/>
    <col min="3073" max="3073" width="30.85546875" style="3" customWidth="1"/>
    <col min="3074" max="3136" width="0" style="3" hidden="1" customWidth="1"/>
    <col min="3137" max="3328" width="9.140625" style="3"/>
    <col min="3329" max="3329" width="30.85546875" style="3" customWidth="1"/>
    <col min="3330" max="3392" width="0" style="3" hidden="1" customWidth="1"/>
    <col min="3393" max="3584" width="9.140625" style="3"/>
    <col min="3585" max="3585" width="30.85546875" style="3" customWidth="1"/>
    <col min="3586" max="3648" width="0" style="3" hidden="1" customWidth="1"/>
    <col min="3649" max="3840" width="9.140625" style="3"/>
    <col min="3841" max="3841" width="30.85546875" style="3" customWidth="1"/>
    <col min="3842" max="3904" width="0" style="3" hidden="1" customWidth="1"/>
    <col min="3905" max="4096" width="9.140625" style="3"/>
    <col min="4097" max="4097" width="30.85546875" style="3" customWidth="1"/>
    <col min="4098" max="4160" width="0" style="3" hidden="1" customWidth="1"/>
    <col min="4161" max="4352" width="9.140625" style="3"/>
    <col min="4353" max="4353" width="30.85546875" style="3" customWidth="1"/>
    <col min="4354" max="4416" width="0" style="3" hidden="1" customWidth="1"/>
    <col min="4417" max="4608" width="9.140625" style="3"/>
    <col min="4609" max="4609" width="30.85546875" style="3" customWidth="1"/>
    <col min="4610" max="4672" width="0" style="3" hidden="1" customWidth="1"/>
    <col min="4673" max="4864" width="9.140625" style="3"/>
    <col min="4865" max="4865" width="30.85546875" style="3" customWidth="1"/>
    <col min="4866" max="4928" width="0" style="3" hidden="1" customWidth="1"/>
    <col min="4929" max="5120" width="9.140625" style="3"/>
    <col min="5121" max="5121" width="30.85546875" style="3" customWidth="1"/>
    <col min="5122" max="5184" width="0" style="3" hidden="1" customWidth="1"/>
    <col min="5185" max="5376" width="9.140625" style="3"/>
    <col min="5377" max="5377" width="30.85546875" style="3" customWidth="1"/>
    <col min="5378" max="5440" width="0" style="3" hidden="1" customWidth="1"/>
    <col min="5441" max="5632" width="9.140625" style="3"/>
    <col min="5633" max="5633" width="30.85546875" style="3" customWidth="1"/>
    <col min="5634" max="5696" width="0" style="3" hidden="1" customWidth="1"/>
    <col min="5697" max="5888" width="9.140625" style="3"/>
    <col min="5889" max="5889" width="30.85546875" style="3" customWidth="1"/>
    <col min="5890" max="5952" width="0" style="3" hidden="1" customWidth="1"/>
    <col min="5953" max="6144" width="9.140625" style="3"/>
    <col min="6145" max="6145" width="30.85546875" style="3" customWidth="1"/>
    <col min="6146" max="6208" width="0" style="3" hidden="1" customWidth="1"/>
    <col min="6209" max="6400" width="9.140625" style="3"/>
    <col min="6401" max="6401" width="30.85546875" style="3" customWidth="1"/>
    <col min="6402" max="6464" width="0" style="3" hidden="1" customWidth="1"/>
    <col min="6465" max="6656" width="9.140625" style="3"/>
    <col min="6657" max="6657" width="30.85546875" style="3" customWidth="1"/>
    <col min="6658" max="6720" width="0" style="3" hidden="1" customWidth="1"/>
    <col min="6721" max="6912" width="9.140625" style="3"/>
    <col min="6913" max="6913" width="30.85546875" style="3" customWidth="1"/>
    <col min="6914" max="6976" width="0" style="3" hidden="1" customWidth="1"/>
    <col min="6977" max="7168" width="9.140625" style="3"/>
    <col min="7169" max="7169" width="30.85546875" style="3" customWidth="1"/>
    <col min="7170" max="7232" width="0" style="3" hidden="1" customWidth="1"/>
    <col min="7233" max="7424" width="9.140625" style="3"/>
    <col min="7425" max="7425" width="30.85546875" style="3" customWidth="1"/>
    <col min="7426" max="7488" width="0" style="3" hidden="1" customWidth="1"/>
    <col min="7489" max="7680" width="9.140625" style="3"/>
    <col min="7681" max="7681" width="30.85546875" style="3" customWidth="1"/>
    <col min="7682" max="7744" width="0" style="3" hidden="1" customWidth="1"/>
    <col min="7745" max="7936" width="9.140625" style="3"/>
    <col min="7937" max="7937" width="30.85546875" style="3" customWidth="1"/>
    <col min="7938" max="8000" width="0" style="3" hidden="1" customWidth="1"/>
    <col min="8001" max="8192" width="9.140625" style="3"/>
    <col min="8193" max="8193" width="30.85546875" style="3" customWidth="1"/>
    <col min="8194" max="8256" width="0" style="3" hidden="1" customWidth="1"/>
    <col min="8257" max="8448" width="9.140625" style="3"/>
    <col min="8449" max="8449" width="30.85546875" style="3" customWidth="1"/>
    <col min="8450" max="8512" width="0" style="3" hidden="1" customWidth="1"/>
    <col min="8513" max="8704" width="9.140625" style="3"/>
    <col min="8705" max="8705" width="30.85546875" style="3" customWidth="1"/>
    <col min="8706" max="8768" width="0" style="3" hidden="1" customWidth="1"/>
    <col min="8769" max="8960" width="9.140625" style="3"/>
    <col min="8961" max="8961" width="30.85546875" style="3" customWidth="1"/>
    <col min="8962" max="9024" width="0" style="3" hidden="1" customWidth="1"/>
    <col min="9025" max="9216" width="9.140625" style="3"/>
    <col min="9217" max="9217" width="30.85546875" style="3" customWidth="1"/>
    <col min="9218" max="9280" width="0" style="3" hidden="1" customWidth="1"/>
    <col min="9281" max="9472" width="9.140625" style="3"/>
    <col min="9473" max="9473" width="30.85546875" style="3" customWidth="1"/>
    <col min="9474" max="9536" width="0" style="3" hidden="1" customWidth="1"/>
    <col min="9537" max="9728" width="9.140625" style="3"/>
    <col min="9729" max="9729" width="30.85546875" style="3" customWidth="1"/>
    <col min="9730" max="9792" width="0" style="3" hidden="1" customWidth="1"/>
    <col min="9793" max="9984" width="9.140625" style="3"/>
    <col min="9985" max="9985" width="30.85546875" style="3" customWidth="1"/>
    <col min="9986" max="10048" width="0" style="3" hidden="1" customWidth="1"/>
    <col min="10049" max="10240" width="9.140625" style="3"/>
    <col min="10241" max="10241" width="30.85546875" style="3" customWidth="1"/>
    <col min="10242" max="10304" width="0" style="3" hidden="1" customWidth="1"/>
    <col min="10305" max="10496" width="9.140625" style="3"/>
    <col min="10497" max="10497" width="30.85546875" style="3" customWidth="1"/>
    <col min="10498" max="10560" width="0" style="3" hidden="1" customWidth="1"/>
    <col min="10561" max="10752" width="9.140625" style="3"/>
    <col min="10753" max="10753" width="30.85546875" style="3" customWidth="1"/>
    <col min="10754" max="10816" width="0" style="3" hidden="1" customWidth="1"/>
    <col min="10817" max="11008" width="9.140625" style="3"/>
    <col min="11009" max="11009" width="30.85546875" style="3" customWidth="1"/>
    <col min="11010" max="11072" width="0" style="3" hidden="1" customWidth="1"/>
    <col min="11073" max="11264" width="9.140625" style="3"/>
    <col min="11265" max="11265" width="30.85546875" style="3" customWidth="1"/>
    <col min="11266" max="11328" width="0" style="3" hidden="1" customWidth="1"/>
    <col min="11329" max="11520" width="9.140625" style="3"/>
    <col min="11521" max="11521" width="30.85546875" style="3" customWidth="1"/>
    <col min="11522" max="11584" width="0" style="3" hidden="1" customWidth="1"/>
    <col min="11585" max="11776" width="9.140625" style="3"/>
    <col min="11777" max="11777" width="30.85546875" style="3" customWidth="1"/>
    <col min="11778" max="11840" width="0" style="3" hidden="1" customWidth="1"/>
    <col min="11841" max="12032" width="9.140625" style="3"/>
    <col min="12033" max="12033" width="30.85546875" style="3" customWidth="1"/>
    <col min="12034" max="12096" width="0" style="3" hidden="1" customWidth="1"/>
    <col min="12097" max="12288" width="9.140625" style="3"/>
    <col min="12289" max="12289" width="30.85546875" style="3" customWidth="1"/>
    <col min="12290" max="12352" width="0" style="3" hidden="1" customWidth="1"/>
    <col min="12353" max="12544" width="9.140625" style="3"/>
    <col min="12545" max="12545" width="30.85546875" style="3" customWidth="1"/>
    <col min="12546" max="12608" width="0" style="3" hidden="1" customWidth="1"/>
    <col min="12609" max="12800" width="9.140625" style="3"/>
    <col min="12801" max="12801" width="30.85546875" style="3" customWidth="1"/>
    <col min="12802" max="12864" width="0" style="3" hidden="1" customWidth="1"/>
    <col min="12865" max="13056" width="9.140625" style="3"/>
    <col min="13057" max="13057" width="30.85546875" style="3" customWidth="1"/>
    <col min="13058" max="13120" width="0" style="3" hidden="1" customWidth="1"/>
    <col min="13121" max="13312" width="9.140625" style="3"/>
    <col min="13313" max="13313" width="30.85546875" style="3" customWidth="1"/>
    <col min="13314" max="13376" width="0" style="3" hidden="1" customWidth="1"/>
    <col min="13377" max="13568" width="9.140625" style="3"/>
    <col min="13569" max="13569" width="30.85546875" style="3" customWidth="1"/>
    <col min="13570" max="13632" width="0" style="3" hidden="1" customWidth="1"/>
    <col min="13633" max="13824" width="9.140625" style="3"/>
    <col min="13825" max="13825" width="30.85546875" style="3" customWidth="1"/>
    <col min="13826" max="13888" width="0" style="3" hidden="1" customWidth="1"/>
    <col min="13889" max="14080" width="9.140625" style="3"/>
    <col min="14081" max="14081" width="30.85546875" style="3" customWidth="1"/>
    <col min="14082" max="14144" width="0" style="3" hidden="1" customWidth="1"/>
    <col min="14145" max="14336" width="9.140625" style="3"/>
    <col min="14337" max="14337" width="30.85546875" style="3" customWidth="1"/>
    <col min="14338" max="14400" width="0" style="3" hidden="1" customWidth="1"/>
    <col min="14401" max="14592" width="9.140625" style="3"/>
    <col min="14593" max="14593" width="30.85546875" style="3" customWidth="1"/>
    <col min="14594" max="14656" width="0" style="3" hidden="1" customWidth="1"/>
    <col min="14657" max="14848" width="9.140625" style="3"/>
    <col min="14849" max="14849" width="30.85546875" style="3" customWidth="1"/>
    <col min="14850" max="14912" width="0" style="3" hidden="1" customWidth="1"/>
    <col min="14913" max="15104" width="9.140625" style="3"/>
    <col min="15105" max="15105" width="30.85546875" style="3" customWidth="1"/>
    <col min="15106" max="15168" width="0" style="3" hidden="1" customWidth="1"/>
    <col min="15169" max="15360" width="9.140625" style="3"/>
    <col min="15361" max="15361" width="30.85546875" style="3" customWidth="1"/>
    <col min="15362" max="15424" width="0" style="3" hidden="1" customWidth="1"/>
    <col min="15425" max="15616" width="9.140625" style="3"/>
    <col min="15617" max="15617" width="30.85546875" style="3" customWidth="1"/>
    <col min="15618" max="15680" width="0" style="3" hidden="1" customWidth="1"/>
    <col min="15681" max="15872" width="9.140625" style="3"/>
    <col min="15873" max="15873" width="30.85546875" style="3" customWidth="1"/>
    <col min="15874" max="15936" width="0" style="3" hidden="1" customWidth="1"/>
    <col min="15937" max="16128" width="9.140625" style="3"/>
    <col min="16129" max="16129" width="30.85546875" style="3" customWidth="1"/>
    <col min="16130" max="16192" width="0" style="3" hidden="1" customWidth="1"/>
    <col min="16193" max="16384" width="9.140625" style="3"/>
  </cols>
  <sheetData>
    <row r="1" spans="1:72" x14ac:dyDescent="0.2">
      <c r="A1" s="1"/>
      <c r="B1" s="2"/>
    </row>
    <row r="2" spans="1:72" ht="15.75" customHeight="1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</row>
    <row r="3" spans="1:72" x14ac:dyDescent="0.2">
      <c r="A3" s="5"/>
      <c r="B3" s="5"/>
    </row>
    <row r="4" spans="1:72" x14ac:dyDescent="0.2">
      <c r="A4" s="59" t="s">
        <v>13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</row>
    <row r="5" spans="1:72" x14ac:dyDescent="0.2">
      <c r="A5" s="7"/>
      <c r="B5" s="50">
        <v>2008</v>
      </c>
      <c r="C5" s="50"/>
      <c r="D5" s="50"/>
      <c r="E5" s="51">
        <v>2009</v>
      </c>
      <c r="F5" s="51"/>
      <c r="G5" s="51"/>
      <c r="H5" s="51"/>
      <c r="I5" s="51">
        <v>2010</v>
      </c>
      <c r="J5" s="51"/>
      <c r="K5" s="51"/>
      <c r="L5" s="51"/>
      <c r="M5" s="55">
        <v>2011</v>
      </c>
      <c r="N5" s="55"/>
      <c r="O5" s="55"/>
      <c r="P5" s="56"/>
      <c r="Q5" s="52">
        <v>2012</v>
      </c>
      <c r="R5" s="53"/>
      <c r="S5" s="53"/>
      <c r="T5" s="54"/>
      <c r="U5" s="52">
        <v>2013</v>
      </c>
      <c r="V5" s="53"/>
      <c r="W5" s="53"/>
      <c r="X5" s="53"/>
      <c r="Y5" s="47">
        <v>2014</v>
      </c>
      <c r="Z5" s="48"/>
      <c r="AA5" s="48"/>
      <c r="AB5" s="49"/>
      <c r="AC5" s="47">
        <v>2015</v>
      </c>
      <c r="AD5" s="48"/>
      <c r="AE5" s="48"/>
      <c r="AF5" s="49"/>
      <c r="AG5" s="58">
        <v>2016</v>
      </c>
      <c r="AH5" s="58"/>
      <c r="AI5" s="58"/>
      <c r="AJ5" s="58"/>
      <c r="AK5" s="52">
        <v>2017</v>
      </c>
      <c r="AL5" s="53"/>
      <c r="AM5" s="53"/>
      <c r="AN5" s="54"/>
      <c r="AO5" s="52">
        <v>2018</v>
      </c>
      <c r="AP5" s="53"/>
      <c r="AQ5" s="53"/>
      <c r="AR5" s="54"/>
      <c r="AS5" s="47">
        <v>2019</v>
      </c>
      <c r="AT5" s="48"/>
      <c r="AU5" s="48"/>
      <c r="AV5" s="49"/>
      <c r="AW5" s="47">
        <v>2020</v>
      </c>
      <c r="AX5" s="48"/>
      <c r="AY5" s="48"/>
      <c r="AZ5" s="49"/>
      <c r="BA5" s="47">
        <v>2021</v>
      </c>
      <c r="BB5" s="48"/>
      <c r="BC5" s="48"/>
      <c r="BD5" s="49"/>
      <c r="BE5" s="47">
        <v>2022</v>
      </c>
      <c r="BF5" s="48"/>
      <c r="BG5" s="48"/>
      <c r="BH5" s="49"/>
      <c r="BI5" s="47">
        <v>2023</v>
      </c>
      <c r="BJ5" s="48"/>
      <c r="BK5" s="48"/>
      <c r="BL5" s="48"/>
      <c r="BM5" s="50">
        <v>2024</v>
      </c>
      <c r="BN5" s="50"/>
      <c r="BO5" s="50"/>
      <c r="BP5" s="50"/>
      <c r="BQ5" s="50">
        <v>2025</v>
      </c>
      <c r="BR5" s="50"/>
      <c r="BS5" s="50"/>
      <c r="BT5" s="50"/>
    </row>
    <row r="6" spans="1:72" ht="28.5" customHeight="1" x14ac:dyDescent="0.2">
      <c r="A6" s="8"/>
      <c r="B6" s="9" t="s">
        <v>7</v>
      </c>
      <c r="C6" s="9" t="s">
        <v>8</v>
      </c>
      <c r="D6" s="9" t="s">
        <v>9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6</v>
      </c>
      <c r="J6" s="9" t="s">
        <v>7</v>
      </c>
      <c r="K6" s="9" t="s">
        <v>8</v>
      </c>
      <c r="L6" s="9" t="s">
        <v>10</v>
      </c>
      <c r="M6" s="9" t="s">
        <v>6</v>
      </c>
      <c r="N6" s="9" t="s">
        <v>11</v>
      </c>
      <c r="O6" s="9" t="s">
        <v>8</v>
      </c>
      <c r="P6" s="9" t="s">
        <v>10</v>
      </c>
      <c r="Q6" s="9" t="s">
        <v>14</v>
      </c>
      <c r="R6" s="9" t="s">
        <v>11</v>
      </c>
      <c r="S6" s="9" t="s">
        <v>8</v>
      </c>
      <c r="T6" s="9" t="s">
        <v>15</v>
      </c>
      <c r="U6" s="10" t="s">
        <v>6</v>
      </c>
      <c r="V6" s="10" t="s">
        <v>16</v>
      </c>
      <c r="W6" s="10" t="s">
        <v>17</v>
      </c>
      <c r="X6" s="10" t="s">
        <v>15</v>
      </c>
      <c r="Y6" s="10" t="s">
        <v>14</v>
      </c>
      <c r="Z6" s="10" t="s">
        <v>16</v>
      </c>
      <c r="AA6" s="9" t="s">
        <v>8</v>
      </c>
      <c r="AB6" s="10" t="s">
        <v>15</v>
      </c>
      <c r="AC6" s="9" t="s">
        <v>14</v>
      </c>
      <c r="AD6" s="9" t="s">
        <v>18</v>
      </c>
      <c r="AE6" s="9" t="s">
        <v>17</v>
      </c>
      <c r="AF6" s="9" t="s">
        <v>9</v>
      </c>
      <c r="AG6" s="9" t="s">
        <v>6</v>
      </c>
      <c r="AH6" s="9" t="s">
        <v>18</v>
      </c>
      <c r="AI6" s="9" t="s">
        <v>17</v>
      </c>
      <c r="AJ6" s="9" t="s">
        <v>15</v>
      </c>
      <c r="AK6" s="9" t="s">
        <v>19</v>
      </c>
      <c r="AL6" s="9" t="s">
        <v>18</v>
      </c>
      <c r="AM6" s="9" t="s">
        <v>17</v>
      </c>
      <c r="AN6" s="9" t="s">
        <v>15</v>
      </c>
      <c r="AO6" s="9" t="s">
        <v>19</v>
      </c>
      <c r="AP6" s="9" t="s">
        <v>18</v>
      </c>
      <c r="AQ6" s="9" t="s">
        <v>17</v>
      </c>
      <c r="AR6" s="9" t="s">
        <v>15</v>
      </c>
      <c r="AS6" s="9" t="s">
        <v>19</v>
      </c>
      <c r="AT6" s="9" t="s">
        <v>18</v>
      </c>
      <c r="AU6" s="9" t="s">
        <v>17</v>
      </c>
      <c r="AV6" s="9" t="s">
        <v>15</v>
      </c>
      <c r="AW6" s="9" t="s">
        <v>19</v>
      </c>
      <c r="AX6" s="9" t="s">
        <v>18</v>
      </c>
      <c r="AY6" s="9" t="s">
        <v>17</v>
      </c>
      <c r="AZ6" s="9" t="s">
        <v>15</v>
      </c>
      <c r="BA6" s="9" t="s">
        <v>19</v>
      </c>
      <c r="BB6" s="9" t="s">
        <v>18</v>
      </c>
      <c r="BC6" s="9" t="s">
        <v>17</v>
      </c>
      <c r="BD6" s="9" t="s">
        <v>15</v>
      </c>
      <c r="BE6" s="9" t="s">
        <v>19</v>
      </c>
      <c r="BF6" s="9" t="s">
        <v>18</v>
      </c>
      <c r="BG6" s="9" t="s">
        <v>17</v>
      </c>
      <c r="BH6" s="9" t="s">
        <v>15</v>
      </c>
      <c r="BI6" s="9" t="s">
        <v>19</v>
      </c>
      <c r="BJ6" s="9" t="s">
        <v>18</v>
      </c>
      <c r="BK6" s="9" t="s">
        <v>17</v>
      </c>
      <c r="BL6" s="11" t="s">
        <v>15</v>
      </c>
      <c r="BM6" s="9" t="s">
        <v>19</v>
      </c>
      <c r="BN6" s="9" t="s">
        <v>18</v>
      </c>
      <c r="BO6" s="9" t="s">
        <v>17</v>
      </c>
      <c r="BP6" s="9" t="s">
        <v>15</v>
      </c>
      <c r="BQ6" s="9" t="s">
        <v>19</v>
      </c>
      <c r="BR6" s="9" t="s">
        <v>18</v>
      </c>
      <c r="BS6" s="9" t="s">
        <v>17</v>
      </c>
      <c r="BT6" s="9" t="s">
        <v>32</v>
      </c>
    </row>
    <row r="7" spans="1:72" x14ac:dyDescent="0.2">
      <c r="A7" s="8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4"/>
      <c r="S7" s="13"/>
      <c r="T7" s="13"/>
      <c r="U7" s="13"/>
      <c r="V7" s="14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7"/>
      <c r="BM7" s="15"/>
      <c r="BN7" s="15"/>
      <c r="BO7" s="15"/>
      <c r="BP7" s="15"/>
      <c r="BQ7" s="15"/>
      <c r="BR7" s="15"/>
      <c r="BS7" s="15"/>
      <c r="BT7" s="15"/>
    </row>
    <row r="8" spans="1:72" s="19" customFormat="1" x14ac:dyDescent="0.2">
      <c r="A8" s="16" t="s">
        <v>1</v>
      </c>
      <c r="B8" s="17">
        <f t="shared" ref="B8:O8" si="0">B9+B14+B19+B22</f>
        <v>123300.99999999999</v>
      </c>
      <c r="C8" s="17">
        <f t="shared" si="0"/>
        <v>123642.69999999997</v>
      </c>
      <c r="D8" s="17">
        <f t="shared" si="0"/>
        <v>121564.1</v>
      </c>
      <c r="E8" s="17">
        <f t="shared" si="0"/>
        <v>126664.45</v>
      </c>
      <c r="F8" s="17">
        <f t="shared" si="0"/>
        <v>136084.20000000001</v>
      </c>
      <c r="G8" s="17">
        <f t="shared" si="0"/>
        <v>140863.70000000001</v>
      </c>
      <c r="H8" s="17">
        <f t="shared" si="0"/>
        <v>147613.70000000001</v>
      </c>
      <c r="I8" s="17">
        <f t="shared" si="0"/>
        <v>144345.99999999997</v>
      </c>
      <c r="J8" s="17">
        <f t="shared" si="0"/>
        <v>148097.69999999998</v>
      </c>
      <c r="K8" s="17">
        <f t="shared" si="0"/>
        <v>152127.6</v>
      </c>
      <c r="L8" s="17">
        <f t="shared" si="0"/>
        <v>155681.9</v>
      </c>
      <c r="M8" s="17">
        <f t="shared" si="0"/>
        <v>157603.30000000002</v>
      </c>
      <c r="N8" s="17">
        <f t="shared" si="0"/>
        <v>159874.40000000002</v>
      </c>
      <c r="O8" s="17">
        <f t="shared" si="0"/>
        <v>161792.4</v>
      </c>
      <c r="P8" s="17">
        <f t="shared" ref="P8:AR8" si="1">P9+P14+P19</f>
        <v>168866.1</v>
      </c>
      <c r="Q8" s="17">
        <f t="shared" si="1"/>
        <v>169873.6</v>
      </c>
      <c r="R8" s="17">
        <f t="shared" si="1"/>
        <v>174310.9</v>
      </c>
      <c r="S8" s="17">
        <f t="shared" si="1"/>
        <v>175432.85149999999</v>
      </c>
      <c r="T8" s="17">
        <f t="shared" si="1"/>
        <v>177038.74</v>
      </c>
      <c r="U8" s="17">
        <f t="shared" si="1"/>
        <v>180401.09399999998</v>
      </c>
      <c r="V8" s="17">
        <f t="shared" si="1"/>
        <v>186692.64600000001</v>
      </c>
      <c r="W8" s="17">
        <f t="shared" si="1"/>
        <v>194026</v>
      </c>
      <c r="X8" s="17">
        <f t="shared" si="1"/>
        <v>197306</v>
      </c>
      <c r="Y8" s="17">
        <f t="shared" si="1"/>
        <v>202506</v>
      </c>
      <c r="Z8" s="17">
        <f t="shared" si="1"/>
        <v>208606</v>
      </c>
      <c r="AA8" s="17">
        <f t="shared" si="1"/>
        <v>214518</v>
      </c>
      <c r="AB8" s="17">
        <f t="shared" si="1"/>
        <v>216875</v>
      </c>
      <c r="AC8" s="17">
        <f t="shared" si="1"/>
        <v>224936</v>
      </c>
      <c r="AD8" s="17">
        <f t="shared" si="1"/>
        <v>226779</v>
      </c>
      <c r="AE8" s="17">
        <f t="shared" si="1"/>
        <v>232348</v>
      </c>
      <c r="AF8" s="17">
        <f t="shared" si="1"/>
        <v>236475</v>
      </c>
      <c r="AG8" s="17">
        <f t="shared" si="1"/>
        <v>244065</v>
      </c>
      <c r="AH8" s="17">
        <f t="shared" si="1"/>
        <v>251401</v>
      </c>
      <c r="AI8" s="17">
        <f t="shared" si="1"/>
        <v>254942</v>
      </c>
      <c r="AJ8" s="17">
        <f t="shared" si="1"/>
        <v>258043</v>
      </c>
      <c r="AK8" s="17">
        <f t="shared" si="1"/>
        <v>264257</v>
      </c>
      <c r="AL8" s="17">
        <f t="shared" si="1"/>
        <v>265547</v>
      </c>
      <c r="AM8" s="17">
        <f t="shared" si="1"/>
        <v>262278</v>
      </c>
      <c r="AN8" s="17">
        <f t="shared" si="1"/>
        <v>261875</v>
      </c>
      <c r="AO8" s="17">
        <f t="shared" si="1"/>
        <v>263945</v>
      </c>
      <c r="AP8" s="17">
        <f t="shared" si="1"/>
        <v>270413</v>
      </c>
      <c r="AQ8" s="17">
        <f t="shared" si="1"/>
        <v>276888</v>
      </c>
      <c r="AR8" s="17">
        <f t="shared" si="1"/>
        <v>278667</v>
      </c>
      <c r="AS8" s="17">
        <f>AS9+AS14+AS19</f>
        <v>286696</v>
      </c>
      <c r="AT8" s="17">
        <f>AT9+AT14+AT19</f>
        <v>289604.5</v>
      </c>
      <c r="AU8" s="17">
        <f>AU9+AU14+AU19</f>
        <v>295923</v>
      </c>
      <c r="AV8" s="17">
        <f>AV9+AV14+AV19</f>
        <v>297907.25</v>
      </c>
      <c r="AW8" s="17">
        <f>AW9+AW14+AW19</f>
        <v>297198.8</v>
      </c>
      <c r="AX8" s="17">
        <f t="shared" ref="AX8:BP8" si="2">AX9+AX14+AX19+AX24</f>
        <v>348642.2</v>
      </c>
      <c r="AY8" s="17">
        <f t="shared" si="2"/>
        <v>342735.95</v>
      </c>
      <c r="AZ8" s="17">
        <f t="shared" si="2"/>
        <v>334685.59999999998</v>
      </c>
      <c r="BA8" s="17">
        <f t="shared" si="2"/>
        <v>359540.6</v>
      </c>
      <c r="BB8" s="17">
        <f t="shared" si="2"/>
        <v>392669.24</v>
      </c>
      <c r="BC8" s="17">
        <f t="shared" si="2"/>
        <v>404430.7</v>
      </c>
      <c r="BD8" s="17">
        <f t="shared" si="2"/>
        <v>392993.15</v>
      </c>
      <c r="BE8" s="17">
        <f t="shared" si="2"/>
        <v>399952.67</v>
      </c>
      <c r="BF8" s="17">
        <f t="shared" si="2"/>
        <v>411209.79</v>
      </c>
      <c r="BG8" s="17">
        <f t="shared" si="2"/>
        <v>416564.67</v>
      </c>
      <c r="BH8" s="17">
        <f t="shared" si="2"/>
        <v>428023.25</v>
      </c>
      <c r="BI8" s="17">
        <f t="shared" si="2"/>
        <v>438481</v>
      </c>
      <c r="BJ8" s="17">
        <f t="shared" si="2"/>
        <v>448772.4</v>
      </c>
      <c r="BK8" s="17">
        <f t="shared" si="2"/>
        <v>451884.89</v>
      </c>
      <c r="BL8" s="18">
        <f t="shared" si="2"/>
        <v>466100.49</v>
      </c>
      <c r="BM8" s="17">
        <f t="shared" si="2"/>
        <v>478109.89999999997</v>
      </c>
      <c r="BN8" s="17">
        <f t="shared" si="2"/>
        <v>491852.3</v>
      </c>
      <c r="BO8" s="17">
        <f t="shared" si="2"/>
        <v>522226</v>
      </c>
      <c r="BP8" s="17">
        <f t="shared" si="2"/>
        <v>538067</v>
      </c>
      <c r="BQ8" s="17">
        <f>BQ9+BQ14+BQ19+BQ24</f>
        <v>558283</v>
      </c>
      <c r="BR8" s="17">
        <f>BR9+BR14+BR19+BR24</f>
        <v>570483</v>
      </c>
      <c r="BS8" s="17">
        <f>BS9+BS14+BS19+BS24</f>
        <v>590977</v>
      </c>
      <c r="BT8" s="17">
        <f>BT9+BT14+BT19+BT24</f>
        <v>598810</v>
      </c>
    </row>
    <row r="9" spans="1:72" x14ac:dyDescent="0.2">
      <c r="A9" s="20" t="s">
        <v>28</v>
      </c>
      <c r="B9" s="21">
        <f t="shared" ref="B9:Q9" si="3">SUM(B10:B12)</f>
        <v>109835.9</v>
      </c>
      <c r="C9" s="21">
        <f t="shared" si="3"/>
        <v>110568.99999999999</v>
      </c>
      <c r="D9" s="21">
        <f t="shared" si="3"/>
        <v>107744</v>
      </c>
      <c r="E9" s="21">
        <f t="shared" si="3"/>
        <v>112236.95</v>
      </c>
      <c r="F9" s="21">
        <f t="shared" si="3"/>
        <v>117234</v>
      </c>
      <c r="G9" s="21">
        <f t="shared" si="3"/>
        <v>118240</v>
      </c>
      <c r="H9" s="21">
        <f t="shared" si="3"/>
        <v>125644</v>
      </c>
      <c r="I9" s="21">
        <f t="shared" si="3"/>
        <v>123037</v>
      </c>
      <c r="J9" s="21">
        <f t="shared" si="3"/>
        <v>126388</v>
      </c>
      <c r="K9" s="21">
        <f t="shared" si="3"/>
        <v>127490</v>
      </c>
      <c r="L9" s="21">
        <f t="shared" si="3"/>
        <v>128557</v>
      </c>
      <c r="M9" s="21">
        <f t="shared" si="3"/>
        <v>127940</v>
      </c>
      <c r="N9" s="21">
        <f t="shared" si="3"/>
        <v>129803</v>
      </c>
      <c r="O9" s="21">
        <f t="shared" si="3"/>
        <v>130546</v>
      </c>
      <c r="P9" s="21">
        <f t="shared" si="3"/>
        <v>137219</v>
      </c>
      <c r="Q9" s="21">
        <f t="shared" si="3"/>
        <v>138273</v>
      </c>
      <c r="R9" s="21">
        <f t="shared" ref="R9:BQ9" si="4">SUM(R10:R12)</f>
        <v>139737</v>
      </c>
      <c r="S9" s="21">
        <f t="shared" si="4"/>
        <v>139856.85149999999</v>
      </c>
      <c r="T9" s="21">
        <f t="shared" si="4"/>
        <v>140806.74</v>
      </c>
      <c r="U9" s="21">
        <f t="shared" si="4"/>
        <v>142756.09399999998</v>
      </c>
      <c r="V9" s="21">
        <f t="shared" si="4"/>
        <v>143886.64600000001</v>
      </c>
      <c r="W9" s="21">
        <f t="shared" si="4"/>
        <v>148079</v>
      </c>
      <c r="X9" s="21">
        <f t="shared" si="4"/>
        <v>149960</v>
      </c>
      <c r="Y9" s="21">
        <f t="shared" si="4"/>
        <v>153558</v>
      </c>
      <c r="Z9" s="21">
        <f t="shared" si="4"/>
        <v>156977</v>
      </c>
      <c r="AA9" s="21">
        <f t="shared" si="4"/>
        <v>163044</v>
      </c>
      <c r="AB9" s="21">
        <f t="shared" si="4"/>
        <v>165285</v>
      </c>
      <c r="AC9" s="21">
        <f t="shared" si="4"/>
        <v>168759</v>
      </c>
      <c r="AD9" s="21">
        <f t="shared" si="4"/>
        <v>171908</v>
      </c>
      <c r="AE9" s="21">
        <f t="shared" si="4"/>
        <v>177634</v>
      </c>
      <c r="AF9" s="21">
        <f t="shared" si="4"/>
        <v>181649</v>
      </c>
      <c r="AG9" s="21">
        <f t="shared" si="4"/>
        <v>189891</v>
      </c>
      <c r="AH9" s="21">
        <f t="shared" si="4"/>
        <v>197798</v>
      </c>
      <c r="AI9" s="21">
        <f t="shared" si="4"/>
        <v>201699</v>
      </c>
      <c r="AJ9" s="21">
        <f t="shared" si="4"/>
        <v>206280</v>
      </c>
      <c r="AK9" s="21">
        <f t="shared" si="4"/>
        <v>218029</v>
      </c>
      <c r="AL9" s="21">
        <f t="shared" si="4"/>
        <v>219202</v>
      </c>
      <c r="AM9" s="21">
        <f t="shared" si="4"/>
        <v>217149</v>
      </c>
      <c r="AN9" s="21">
        <f t="shared" si="4"/>
        <v>216645</v>
      </c>
      <c r="AO9" s="21">
        <f t="shared" si="4"/>
        <v>219298</v>
      </c>
      <c r="AP9" s="21">
        <f t="shared" si="4"/>
        <v>225783</v>
      </c>
      <c r="AQ9" s="21">
        <f t="shared" si="4"/>
        <v>234719</v>
      </c>
      <c r="AR9" s="21">
        <f t="shared" si="4"/>
        <v>237162</v>
      </c>
      <c r="AS9" s="21">
        <f t="shared" si="4"/>
        <v>246360</v>
      </c>
      <c r="AT9" s="21">
        <f t="shared" si="4"/>
        <v>249277</v>
      </c>
      <c r="AU9" s="21">
        <f t="shared" si="4"/>
        <v>256650</v>
      </c>
      <c r="AV9" s="21">
        <f t="shared" si="4"/>
        <v>258244</v>
      </c>
      <c r="AW9" s="21">
        <f t="shared" si="4"/>
        <v>263516</v>
      </c>
      <c r="AX9" s="21">
        <f t="shared" si="4"/>
        <v>304737</v>
      </c>
      <c r="AY9" s="21">
        <f t="shared" si="4"/>
        <v>283614</v>
      </c>
      <c r="AZ9" s="21">
        <f t="shared" si="4"/>
        <v>274734</v>
      </c>
      <c r="BA9" s="21">
        <f t="shared" si="4"/>
        <v>289298</v>
      </c>
      <c r="BB9" s="21">
        <f t="shared" si="4"/>
        <v>320593</v>
      </c>
      <c r="BC9" s="21">
        <f t="shared" si="4"/>
        <v>326660</v>
      </c>
      <c r="BD9" s="21">
        <f t="shared" si="4"/>
        <v>315846</v>
      </c>
      <c r="BE9" s="21">
        <f t="shared" si="4"/>
        <v>323558</v>
      </c>
      <c r="BF9" s="21">
        <f t="shared" si="4"/>
        <v>337907</v>
      </c>
      <c r="BG9" s="21">
        <f t="shared" si="4"/>
        <v>349040</v>
      </c>
      <c r="BH9" s="21">
        <f t="shared" si="4"/>
        <v>346107</v>
      </c>
      <c r="BI9" s="21">
        <f t="shared" si="4"/>
        <v>352511</v>
      </c>
      <c r="BJ9" s="21">
        <f t="shared" si="4"/>
        <v>364773</v>
      </c>
      <c r="BK9" s="21">
        <f t="shared" si="4"/>
        <v>372242</v>
      </c>
      <c r="BL9" s="22">
        <f t="shared" si="4"/>
        <v>382031</v>
      </c>
      <c r="BM9" s="21">
        <f t="shared" si="4"/>
        <v>392438</v>
      </c>
      <c r="BN9" s="21">
        <f t="shared" si="4"/>
        <v>406272</v>
      </c>
      <c r="BO9" s="21">
        <f t="shared" si="4"/>
        <v>425087</v>
      </c>
      <c r="BP9" s="21">
        <f t="shared" si="4"/>
        <v>441216</v>
      </c>
      <c r="BQ9" s="21">
        <f t="shared" si="4"/>
        <v>463617</v>
      </c>
      <c r="BR9" s="21">
        <f>SUM(BR10:BR12)</f>
        <v>473240</v>
      </c>
      <c r="BS9" s="21">
        <f>SUM(BS10:BS12)</f>
        <v>493871</v>
      </c>
      <c r="BT9" s="21">
        <f>SUM(BT10:BT12)</f>
        <v>499960</v>
      </c>
    </row>
    <row r="10" spans="1:72" x14ac:dyDescent="0.2">
      <c r="A10" s="23" t="s">
        <v>3</v>
      </c>
      <c r="B10" s="24">
        <v>33880.199999999997</v>
      </c>
      <c r="C10" s="24">
        <v>34548.5</v>
      </c>
      <c r="D10" s="24">
        <v>36352.6</v>
      </c>
      <c r="E10" s="24">
        <v>36346.6</v>
      </c>
      <c r="F10" s="24">
        <v>40030</v>
      </c>
      <c r="G10" s="24">
        <v>42165</v>
      </c>
      <c r="H10" s="24">
        <v>44494</v>
      </c>
      <c r="I10" s="24">
        <v>44120</v>
      </c>
      <c r="J10" s="24">
        <v>46131</v>
      </c>
      <c r="K10" s="24">
        <v>50524</v>
      </c>
      <c r="L10" s="24">
        <v>50599</v>
      </c>
      <c r="M10" s="24">
        <v>51875</v>
      </c>
      <c r="N10" s="24">
        <v>54077</v>
      </c>
      <c r="O10" s="24">
        <v>55775</v>
      </c>
      <c r="P10" s="24">
        <v>58520</v>
      </c>
      <c r="Q10" s="24">
        <v>60614</v>
      </c>
      <c r="R10" s="24">
        <v>64265</v>
      </c>
      <c r="S10" s="24">
        <v>67551.479499999987</v>
      </c>
      <c r="T10" s="24">
        <v>69539.199999999997</v>
      </c>
      <c r="U10" s="24">
        <v>71384.7</v>
      </c>
      <c r="V10" s="24">
        <v>73309.399999999994</v>
      </c>
      <c r="W10" s="24">
        <v>77706.399999999994</v>
      </c>
      <c r="X10" s="24">
        <v>79212</v>
      </c>
      <c r="Y10" s="24">
        <v>82611</v>
      </c>
      <c r="Z10" s="24">
        <v>83301</v>
      </c>
      <c r="AA10" s="24">
        <v>86156</v>
      </c>
      <c r="AB10" s="24">
        <v>90095</v>
      </c>
      <c r="AC10" s="24">
        <v>93221</v>
      </c>
      <c r="AD10" s="24">
        <v>95774</v>
      </c>
      <c r="AE10" s="24">
        <v>99882</v>
      </c>
      <c r="AF10" s="24">
        <v>103094</v>
      </c>
      <c r="AG10" s="24">
        <v>106900</v>
      </c>
      <c r="AH10" s="24">
        <v>113788</v>
      </c>
      <c r="AI10" s="24">
        <v>116436</v>
      </c>
      <c r="AJ10" s="24">
        <f>120333</f>
        <v>120333</v>
      </c>
      <c r="AK10" s="24">
        <f>126502</f>
        <v>126502</v>
      </c>
      <c r="AL10" s="24">
        <f>127955</f>
        <v>127955</v>
      </c>
      <c r="AM10" s="24">
        <f>135287</f>
        <v>135287</v>
      </c>
      <c r="AN10" s="24">
        <f>138643</f>
        <v>138643</v>
      </c>
      <c r="AO10" s="24">
        <f>139212</f>
        <v>139212</v>
      </c>
      <c r="AP10" s="24">
        <f>145534</f>
        <v>145534</v>
      </c>
      <c r="AQ10" s="24">
        <f>151419</f>
        <v>151419</v>
      </c>
      <c r="AR10" s="24">
        <f>154088</f>
        <v>154088</v>
      </c>
      <c r="AS10" s="24">
        <f>159581</f>
        <v>159581</v>
      </c>
      <c r="AT10" s="24">
        <f>161581</f>
        <v>161581</v>
      </c>
      <c r="AU10" s="24">
        <f>169383</f>
        <v>169383</v>
      </c>
      <c r="AV10" s="24">
        <v>171172</v>
      </c>
      <c r="AW10" s="24">
        <v>177370</v>
      </c>
      <c r="AX10" s="24">
        <v>195196</v>
      </c>
      <c r="AY10" s="24">
        <v>191291</v>
      </c>
      <c r="AZ10" s="24">
        <v>192969</v>
      </c>
      <c r="BA10" s="24">
        <v>204096</v>
      </c>
      <c r="BB10" s="24">
        <v>219653</v>
      </c>
      <c r="BC10" s="24">
        <v>224950</v>
      </c>
      <c r="BD10" s="24">
        <v>226557</v>
      </c>
      <c r="BE10" s="24">
        <v>229433</v>
      </c>
      <c r="BF10" s="24">
        <v>241421</v>
      </c>
      <c r="BG10" s="24">
        <v>245403</v>
      </c>
      <c r="BH10" s="24">
        <v>247726</v>
      </c>
      <c r="BI10" s="24">
        <v>258290</v>
      </c>
      <c r="BJ10" s="24">
        <v>262616</v>
      </c>
      <c r="BK10" s="24">
        <v>266487</v>
      </c>
      <c r="BL10" s="25">
        <v>271228</v>
      </c>
      <c r="BM10" s="24">
        <v>275362</v>
      </c>
      <c r="BN10" s="24">
        <v>279211</v>
      </c>
      <c r="BO10" s="24">
        <v>288991</v>
      </c>
      <c r="BP10" s="24">
        <v>291691</v>
      </c>
      <c r="BQ10" s="24">
        <v>303859</v>
      </c>
      <c r="BR10" s="24">
        <v>304298</v>
      </c>
      <c r="BS10" s="24">
        <v>314182</v>
      </c>
      <c r="BT10" s="24">
        <v>325056</v>
      </c>
    </row>
    <row r="11" spans="1:72" x14ac:dyDescent="0.2">
      <c r="A11" s="23" t="s">
        <v>4</v>
      </c>
      <c r="B11" s="24">
        <v>39393.899999999994</v>
      </c>
      <c r="C11" s="24">
        <v>40483.799999999996</v>
      </c>
      <c r="D11" s="24">
        <v>43139.200000000004</v>
      </c>
      <c r="E11" s="24">
        <v>45312.15</v>
      </c>
      <c r="F11" s="24">
        <v>40182</v>
      </c>
      <c r="G11" s="24">
        <v>40978</v>
      </c>
      <c r="H11" s="24">
        <v>41828</v>
      </c>
      <c r="I11" s="24">
        <v>42315</v>
      </c>
      <c r="J11" s="24">
        <v>40098</v>
      </c>
      <c r="K11" s="24">
        <v>42161</v>
      </c>
      <c r="L11" s="24">
        <v>44049</v>
      </c>
      <c r="M11" s="24">
        <v>42365</v>
      </c>
      <c r="N11" s="24">
        <v>41973</v>
      </c>
      <c r="O11" s="24">
        <v>43080</v>
      </c>
      <c r="P11" s="24">
        <v>42632</v>
      </c>
      <c r="Q11" s="24">
        <v>44326</v>
      </c>
      <c r="R11" s="24">
        <v>43637</v>
      </c>
      <c r="S11" s="24">
        <v>43981.372000000003</v>
      </c>
      <c r="T11" s="24">
        <f>40174.4</f>
        <v>40174.400000000001</v>
      </c>
      <c r="U11" s="24">
        <f>40064.894</f>
        <v>40064.894</v>
      </c>
      <c r="V11" s="24">
        <f>40697.386</f>
        <v>40697.385999999999</v>
      </c>
      <c r="W11" s="24">
        <f>41521.5</f>
        <v>41521.5</v>
      </c>
      <c r="X11" s="24">
        <f>43251</f>
        <v>43251</v>
      </c>
      <c r="Y11" s="24">
        <f>47154</f>
        <v>47154</v>
      </c>
      <c r="Z11" s="24">
        <f>50692</f>
        <v>50692</v>
      </c>
      <c r="AA11" s="24">
        <f>53378</f>
        <v>53378</v>
      </c>
      <c r="AB11" s="24">
        <f>48440</f>
        <v>48440</v>
      </c>
      <c r="AC11" s="24">
        <f>50283</f>
        <v>50283</v>
      </c>
      <c r="AD11" s="24">
        <f>50218</f>
        <v>50218</v>
      </c>
      <c r="AE11" s="24">
        <f>51664</f>
        <v>51664</v>
      </c>
      <c r="AF11" s="24">
        <f>51710</f>
        <v>51710</v>
      </c>
      <c r="AG11" s="24">
        <f>50310</f>
        <v>50310</v>
      </c>
      <c r="AH11" s="24">
        <v>49730</v>
      </c>
      <c r="AI11" s="24">
        <f>49485</f>
        <v>49485</v>
      </c>
      <c r="AJ11" s="24">
        <f>53374</f>
        <v>53374</v>
      </c>
      <c r="AK11" s="24">
        <f>52153</f>
        <v>52153</v>
      </c>
      <c r="AL11" s="24">
        <f>52524</f>
        <v>52524</v>
      </c>
      <c r="AM11" s="24">
        <f>50889</f>
        <v>50889</v>
      </c>
      <c r="AN11" s="24">
        <f>49977</f>
        <v>49977</v>
      </c>
      <c r="AO11" s="24">
        <f>54899</f>
        <v>54899</v>
      </c>
      <c r="AP11" s="24">
        <f>54393</f>
        <v>54393</v>
      </c>
      <c r="AQ11" s="24">
        <f>55362</f>
        <v>55362</v>
      </c>
      <c r="AR11" s="24">
        <f>56791</f>
        <v>56791</v>
      </c>
      <c r="AS11" s="24">
        <f>57691</f>
        <v>57691</v>
      </c>
      <c r="AT11" s="24">
        <f>56106</f>
        <v>56106</v>
      </c>
      <c r="AU11" s="24">
        <f>59106</f>
        <v>59106</v>
      </c>
      <c r="AV11" s="24">
        <v>59801</v>
      </c>
      <c r="AW11" s="24">
        <v>55978</v>
      </c>
      <c r="AX11" s="24">
        <v>63178</v>
      </c>
      <c r="AY11" s="24">
        <v>58178</v>
      </c>
      <c r="AZ11" s="24">
        <v>56973</v>
      </c>
      <c r="BA11" s="24">
        <v>56270</v>
      </c>
      <c r="BB11" s="24">
        <v>62777</v>
      </c>
      <c r="BC11" s="24">
        <v>63785</v>
      </c>
      <c r="BD11" s="24">
        <v>56889</v>
      </c>
      <c r="BE11" s="24">
        <v>59877</v>
      </c>
      <c r="BF11" s="24">
        <v>57699</v>
      </c>
      <c r="BG11" s="24">
        <v>60492</v>
      </c>
      <c r="BH11" s="24">
        <v>57860</v>
      </c>
      <c r="BI11" s="24">
        <v>55660</v>
      </c>
      <c r="BJ11" s="24">
        <v>62546</v>
      </c>
      <c r="BK11" s="24">
        <v>68140</v>
      </c>
      <c r="BL11" s="25">
        <v>68942</v>
      </c>
      <c r="BM11" s="24">
        <v>70735</v>
      </c>
      <c r="BN11" s="24">
        <v>67329</v>
      </c>
      <c r="BO11" s="24">
        <v>67714</v>
      </c>
      <c r="BP11" s="24">
        <v>70884</v>
      </c>
      <c r="BQ11" s="24">
        <v>66328</v>
      </c>
      <c r="BR11" s="24">
        <v>72108</v>
      </c>
      <c r="BS11" s="24">
        <v>76057</v>
      </c>
      <c r="BT11" s="24">
        <v>79128</v>
      </c>
    </row>
    <row r="12" spans="1:72" ht="14.25" x14ac:dyDescent="0.2">
      <c r="A12" s="23" t="s">
        <v>29</v>
      </c>
      <c r="B12" s="24">
        <v>36561.800000000003</v>
      </c>
      <c r="C12" s="24">
        <v>35536.699999999997</v>
      </c>
      <c r="D12" s="24">
        <v>28252.2</v>
      </c>
      <c r="E12" s="24">
        <v>30578.2</v>
      </c>
      <c r="F12" s="24">
        <v>37022</v>
      </c>
      <c r="G12" s="24">
        <v>35097</v>
      </c>
      <c r="H12" s="24">
        <v>39322</v>
      </c>
      <c r="I12" s="24">
        <v>36602</v>
      </c>
      <c r="J12" s="24">
        <v>40159</v>
      </c>
      <c r="K12" s="24">
        <v>34805</v>
      </c>
      <c r="L12" s="24">
        <v>33909</v>
      </c>
      <c r="M12" s="24">
        <f>33700</f>
        <v>33700</v>
      </c>
      <c r="N12" s="24">
        <f>33753</f>
        <v>33753</v>
      </c>
      <c r="O12" s="24">
        <f>31691</f>
        <v>31691</v>
      </c>
      <c r="P12" s="24">
        <f>36067</f>
        <v>36067</v>
      </c>
      <c r="Q12" s="24">
        <f>33333</f>
        <v>33333</v>
      </c>
      <c r="R12" s="24">
        <f>31835</f>
        <v>31835</v>
      </c>
      <c r="S12" s="24">
        <f>28324</f>
        <v>28324</v>
      </c>
      <c r="T12" s="24">
        <f>31093.14</f>
        <v>31093.14</v>
      </c>
      <c r="U12" s="24">
        <f>31306.5</f>
        <v>31306.5</v>
      </c>
      <c r="V12" s="24">
        <f>29879.86</f>
        <v>29879.86</v>
      </c>
      <c r="W12" s="24">
        <f>28851.1</f>
        <v>28851.1</v>
      </c>
      <c r="X12" s="24">
        <f>27497</f>
        <v>27497</v>
      </c>
      <c r="Y12" s="24">
        <f>23793</f>
        <v>23793</v>
      </c>
      <c r="Z12" s="24">
        <f>22984</f>
        <v>22984</v>
      </c>
      <c r="AA12" s="24">
        <f>23510</f>
        <v>23510</v>
      </c>
      <c r="AB12" s="24">
        <f>26750</f>
        <v>26750</v>
      </c>
      <c r="AC12" s="24">
        <f>25255</f>
        <v>25255</v>
      </c>
      <c r="AD12" s="24">
        <f>25916</f>
        <v>25916</v>
      </c>
      <c r="AE12" s="24">
        <f>26088</f>
        <v>26088</v>
      </c>
      <c r="AF12" s="24">
        <f>26845</f>
        <v>26845</v>
      </c>
      <c r="AG12" s="24">
        <f>32681</f>
        <v>32681</v>
      </c>
      <c r="AH12" s="24">
        <f>34280</f>
        <v>34280</v>
      </c>
      <c r="AI12" s="24">
        <f>35778</f>
        <v>35778</v>
      </c>
      <c r="AJ12" s="24">
        <f>32573</f>
        <v>32573</v>
      </c>
      <c r="AK12" s="24">
        <f>39374</f>
        <v>39374</v>
      </c>
      <c r="AL12" s="24">
        <f>38723</f>
        <v>38723</v>
      </c>
      <c r="AM12" s="24">
        <f>30973</f>
        <v>30973</v>
      </c>
      <c r="AN12" s="24">
        <f>28025</f>
        <v>28025</v>
      </c>
      <c r="AO12" s="24">
        <f>25187</f>
        <v>25187</v>
      </c>
      <c r="AP12" s="24">
        <f>25856</f>
        <v>25856</v>
      </c>
      <c r="AQ12" s="24">
        <f>27938</f>
        <v>27938</v>
      </c>
      <c r="AR12" s="24">
        <f>26283</f>
        <v>26283</v>
      </c>
      <c r="AS12" s="24">
        <f>29088</f>
        <v>29088</v>
      </c>
      <c r="AT12" s="24">
        <f>31590</f>
        <v>31590</v>
      </c>
      <c r="AU12" s="24">
        <f>28161</f>
        <v>28161</v>
      </c>
      <c r="AV12" s="24">
        <v>27271</v>
      </c>
      <c r="AW12" s="24">
        <v>30168</v>
      </c>
      <c r="AX12" s="24">
        <v>46363</v>
      </c>
      <c r="AY12" s="24">
        <v>34145</v>
      </c>
      <c r="AZ12" s="24">
        <v>24792</v>
      </c>
      <c r="BA12" s="24">
        <v>28932</v>
      </c>
      <c r="BB12" s="24">
        <v>38163</v>
      </c>
      <c r="BC12" s="24">
        <v>37925</v>
      </c>
      <c r="BD12" s="24">
        <v>32400</v>
      </c>
      <c r="BE12" s="24">
        <v>34248</v>
      </c>
      <c r="BF12" s="24">
        <v>38787</v>
      </c>
      <c r="BG12" s="24">
        <v>43145</v>
      </c>
      <c r="BH12" s="24">
        <v>40521</v>
      </c>
      <c r="BI12" s="24">
        <v>38561</v>
      </c>
      <c r="BJ12" s="24">
        <v>39611</v>
      </c>
      <c r="BK12" s="24">
        <v>37615</v>
      </c>
      <c r="BL12" s="25">
        <v>41861</v>
      </c>
      <c r="BM12" s="24">
        <v>46341</v>
      </c>
      <c r="BN12" s="24">
        <v>59732</v>
      </c>
      <c r="BO12" s="24">
        <v>68382</v>
      </c>
      <c r="BP12" s="24">
        <v>78641</v>
      </c>
      <c r="BQ12" s="24">
        <v>93430</v>
      </c>
      <c r="BR12" s="24">
        <v>96834</v>
      </c>
      <c r="BS12" s="24">
        <v>103632</v>
      </c>
      <c r="BT12" s="24">
        <v>95776</v>
      </c>
    </row>
    <row r="13" spans="1:72" x14ac:dyDescent="0.2">
      <c r="A13" s="26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5"/>
      <c r="BM13" s="24"/>
      <c r="BN13" s="24"/>
      <c r="BO13" s="24"/>
      <c r="BP13" s="24"/>
      <c r="BQ13" s="24"/>
      <c r="BR13" s="24"/>
      <c r="BS13" s="24"/>
      <c r="BT13" s="24"/>
    </row>
    <row r="14" spans="1:72" x14ac:dyDescent="0.2">
      <c r="A14" s="20" t="s">
        <v>25</v>
      </c>
      <c r="B14" s="21">
        <f t="shared" ref="B14:U14" si="5">SUM(B15:B17)</f>
        <v>13152</v>
      </c>
      <c r="C14" s="21">
        <f t="shared" si="5"/>
        <v>12761.599999999999</v>
      </c>
      <c r="D14" s="21">
        <f t="shared" si="5"/>
        <v>13483.300000000001</v>
      </c>
      <c r="E14" s="21">
        <f t="shared" si="5"/>
        <v>14079</v>
      </c>
      <c r="F14" s="21">
        <f t="shared" si="5"/>
        <v>18487</v>
      </c>
      <c r="G14" s="21">
        <f t="shared" si="5"/>
        <v>22261</v>
      </c>
      <c r="H14" s="21">
        <f t="shared" si="5"/>
        <v>21617.7</v>
      </c>
      <c r="I14" s="21">
        <f t="shared" si="5"/>
        <v>21016.799999999999</v>
      </c>
      <c r="J14" s="21">
        <f t="shared" si="5"/>
        <v>21417.5</v>
      </c>
      <c r="K14" s="21">
        <f t="shared" si="5"/>
        <v>24323.1</v>
      </c>
      <c r="L14" s="21">
        <f t="shared" si="5"/>
        <v>26791.3</v>
      </c>
      <c r="M14" s="21">
        <f t="shared" si="5"/>
        <v>29336.1</v>
      </c>
      <c r="N14" s="21">
        <f t="shared" si="5"/>
        <v>29755.599999999999</v>
      </c>
      <c r="O14" s="21">
        <f t="shared" si="5"/>
        <v>30934.400000000001</v>
      </c>
      <c r="P14" s="21">
        <f t="shared" si="5"/>
        <v>31351.1</v>
      </c>
      <c r="Q14" s="21">
        <f t="shared" si="5"/>
        <v>31304.6</v>
      </c>
      <c r="R14" s="21">
        <f t="shared" si="5"/>
        <v>34283.9</v>
      </c>
      <c r="S14" s="21">
        <f t="shared" si="5"/>
        <v>35282</v>
      </c>
      <c r="T14" s="21">
        <f t="shared" si="5"/>
        <v>35947</v>
      </c>
      <c r="U14" s="21">
        <f t="shared" si="5"/>
        <v>37359</v>
      </c>
      <c r="V14" s="21">
        <f>SUM(V15:V17)</f>
        <v>42530</v>
      </c>
      <c r="W14" s="21">
        <f>SUM(W15:W17)</f>
        <v>45633</v>
      </c>
      <c r="X14" s="21">
        <f t="shared" ref="X14:BP14" si="6">SUM(X15:X17)</f>
        <v>47162</v>
      </c>
      <c r="Y14" s="21">
        <f t="shared" si="6"/>
        <v>48764</v>
      </c>
      <c r="Z14" s="21">
        <f t="shared" si="6"/>
        <v>51456</v>
      </c>
      <c r="AA14" s="21">
        <f t="shared" si="6"/>
        <v>51301</v>
      </c>
      <c r="AB14" s="21">
        <f t="shared" si="6"/>
        <v>51429</v>
      </c>
      <c r="AC14" s="21">
        <f t="shared" si="6"/>
        <v>56004</v>
      </c>
      <c r="AD14" s="21">
        <f t="shared" si="6"/>
        <v>54711</v>
      </c>
      <c r="AE14" s="21">
        <f t="shared" si="6"/>
        <v>54552</v>
      </c>
      <c r="AF14" s="21">
        <f t="shared" si="6"/>
        <v>54676</v>
      </c>
      <c r="AG14" s="21">
        <f t="shared" si="6"/>
        <v>54024</v>
      </c>
      <c r="AH14" s="21">
        <f t="shared" si="6"/>
        <v>53464</v>
      </c>
      <c r="AI14" s="21">
        <f t="shared" si="6"/>
        <v>53104</v>
      </c>
      <c r="AJ14" s="21">
        <f t="shared" si="6"/>
        <v>51637</v>
      </c>
      <c r="AK14" s="21">
        <f t="shared" si="6"/>
        <v>46103</v>
      </c>
      <c r="AL14" s="21">
        <f t="shared" si="6"/>
        <v>46231</v>
      </c>
      <c r="AM14" s="21">
        <f t="shared" si="6"/>
        <v>45015</v>
      </c>
      <c r="AN14" s="21">
        <f t="shared" si="6"/>
        <v>45128</v>
      </c>
      <c r="AO14" s="21">
        <f t="shared" si="6"/>
        <v>44544</v>
      </c>
      <c r="AP14" s="21">
        <f t="shared" si="6"/>
        <v>44538</v>
      </c>
      <c r="AQ14" s="21">
        <f t="shared" si="6"/>
        <v>42078</v>
      </c>
      <c r="AR14" s="21">
        <f t="shared" si="6"/>
        <v>41414</v>
      </c>
      <c r="AS14" s="21">
        <f t="shared" si="6"/>
        <v>40256</v>
      </c>
      <c r="AT14" s="21">
        <f t="shared" si="6"/>
        <v>40257.5</v>
      </c>
      <c r="AU14" s="21">
        <f t="shared" si="6"/>
        <v>39203</v>
      </c>
      <c r="AV14" s="21">
        <f t="shared" si="6"/>
        <v>39592.250000000007</v>
      </c>
      <c r="AW14" s="21">
        <f t="shared" si="6"/>
        <v>33621.800000000003</v>
      </c>
      <c r="AX14" s="21">
        <f t="shared" si="6"/>
        <v>43688.2</v>
      </c>
      <c r="AY14" s="21">
        <f t="shared" si="6"/>
        <v>58955.95</v>
      </c>
      <c r="AZ14" s="21">
        <f t="shared" si="6"/>
        <v>59786.6</v>
      </c>
      <c r="BA14" s="21">
        <f t="shared" si="6"/>
        <v>70092.600000000006</v>
      </c>
      <c r="BB14" s="21">
        <f t="shared" si="6"/>
        <v>71940.3</v>
      </c>
      <c r="BC14" s="21">
        <f t="shared" si="6"/>
        <v>77635.7</v>
      </c>
      <c r="BD14" s="21">
        <f t="shared" si="6"/>
        <v>77013.95</v>
      </c>
      <c r="BE14" s="21">
        <f t="shared" si="6"/>
        <v>76262.849999999991</v>
      </c>
      <c r="BF14" s="21">
        <f t="shared" si="6"/>
        <v>73172.350000000006</v>
      </c>
      <c r="BG14" s="21">
        <f t="shared" si="6"/>
        <v>67395.600000000006</v>
      </c>
      <c r="BH14" s="21">
        <f t="shared" si="6"/>
        <v>81788.45</v>
      </c>
      <c r="BI14" s="21">
        <f t="shared" si="6"/>
        <v>85843</v>
      </c>
      <c r="BJ14" s="21">
        <f t="shared" si="6"/>
        <v>83874</v>
      </c>
      <c r="BK14" s="21">
        <f t="shared" si="6"/>
        <v>79517.75</v>
      </c>
      <c r="BL14" s="22">
        <f t="shared" si="6"/>
        <v>83946.6</v>
      </c>
      <c r="BM14" s="21">
        <f t="shared" si="6"/>
        <v>85550.3</v>
      </c>
      <c r="BN14" s="21">
        <f t="shared" si="6"/>
        <v>85460</v>
      </c>
      <c r="BO14" s="21">
        <f t="shared" si="6"/>
        <v>97020</v>
      </c>
      <c r="BP14" s="21">
        <f t="shared" si="6"/>
        <v>96733</v>
      </c>
      <c r="BQ14" s="21">
        <f>SUM(BQ15:BQ17)</f>
        <v>94550</v>
      </c>
      <c r="BR14" s="21">
        <f>SUM(BR15:BR17)</f>
        <v>97128</v>
      </c>
      <c r="BS14" s="21">
        <f>SUM(BS15:BS17)</f>
        <v>96993</v>
      </c>
      <c r="BT14" s="21">
        <f>SUM(BT15:BT17)</f>
        <v>98826</v>
      </c>
    </row>
    <row r="15" spans="1:72" ht="15.75" customHeight="1" x14ac:dyDescent="0.2">
      <c r="A15" s="23" t="s">
        <v>26</v>
      </c>
      <c r="B15" s="24">
        <f>11236.1+605.3+701</f>
        <v>12542.4</v>
      </c>
      <c r="C15" s="24">
        <f>11233.4+647.4+686</f>
        <v>12566.8</v>
      </c>
      <c r="D15" s="24">
        <f>12412.2+301.1+770</f>
        <v>13483.300000000001</v>
      </c>
      <c r="E15" s="24">
        <f>13245+780</f>
        <v>14025</v>
      </c>
      <c r="F15" s="24">
        <f>17669+786</f>
        <v>18455</v>
      </c>
      <c r="G15" s="24">
        <f>17038+4683</f>
        <v>21721</v>
      </c>
      <c r="H15" s="24">
        <f>20782.7-3999+4597</f>
        <v>21380.7</v>
      </c>
      <c r="I15" s="24">
        <f>20459.5-3999+4527</f>
        <v>20987.5</v>
      </c>
      <c r="J15" s="24">
        <f>20823.2-3999+4564</f>
        <v>21388.2</v>
      </c>
      <c r="K15" s="24">
        <f>23735.1-3999+4536</f>
        <v>24272.1</v>
      </c>
      <c r="L15" s="24">
        <f>26180.3-3999+4504</f>
        <v>26685.3</v>
      </c>
      <c r="M15" s="24">
        <f>28897.1-3999+4356</f>
        <v>29254.1</v>
      </c>
      <c r="N15" s="24">
        <f>29015.6-3686+4411</f>
        <v>29740.6</v>
      </c>
      <c r="O15" s="24">
        <f>30169.4-3688+4388</f>
        <v>30869.4</v>
      </c>
      <c r="P15" s="24">
        <f>30357.1-3638+4359</f>
        <v>31078.1</v>
      </c>
      <c r="Q15" s="24">
        <f>30259.6-3617+4331</f>
        <v>30973.599999999999</v>
      </c>
      <c r="R15" s="24">
        <f>32705.9-3793+4551</f>
        <v>33463.9</v>
      </c>
      <c r="S15" s="24">
        <f>30350+4545</f>
        <v>34895</v>
      </c>
      <c r="T15" s="24">
        <f>31188+4543</f>
        <v>35731</v>
      </c>
      <c r="U15" s="24">
        <f>32801+4522</f>
        <v>37323</v>
      </c>
      <c r="V15" s="24">
        <f>37883+4515</f>
        <v>42398</v>
      </c>
      <c r="W15" s="24">
        <f>40924+4525</f>
        <v>45449</v>
      </c>
      <c r="X15" s="24">
        <f>42269+4493</f>
        <v>46762</v>
      </c>
      <c r="Y15" s="24">
        <f>43829+4497</f>
        <v>48326</v>
      </c>
      <c r="Z15" s="24">
        <f>46539+4525</f>
        <v>51064</v>
      </c>
      <c r="AA15" s="24">
        <f>4497+46475</f>
        <v>50972</v>
      </c>
      <c r="AB15" s="24">
        <f>4449+46773</f>
        <v>51222</v>
      </c>
      <c r="AC15" s="24">
        <f>4876+51075</f>
        <v>55951</v>
      </c>
      <c r="AD15" s="24">
        <f>4775+49920</f>
        <v>54695</v>
      </c>
      <c r="AE15" s="24">
        <v>54532</v>
      </c>
      <c r="AF15" s="24">
        <v>54545</v>
      </c>
      <c r="AG15" s="24">
        <v>53893</v>
      </c>
      <c r="AH15" s="24">
        <v>53336</v>
      </c>
      <c r="AI15" s="24">
        <v>52969</v>
      </c>
      <c r="AJ15" s="24">
        <v>51605</v>
      </c>
      <c r="AK15" s="24">
        <v>46064</v>
      </c>
      <c r="AL15" s="24">
        <v>46192</v>
      </c>
      <c r="AM15" s="24">
        <v>44979</v>
      </c>
      <c r="AN15" s="24">
        <v>45100</v>
      </c>
      <c r="AO15" s="24">
        <v>44515</v>
      </c>
      <c r="AP15" s="24">
        <v>44524</v>
      </c>
      <c r="AQ15" s="24">
        <v>42066</v>
      </c>
      <c r="AR15" s="24">
        <v>41397</v>
      </c>
      <c r="AS15" s="24">
        <v>40244</v>
      </c>
      <c r="AT15" s="24">
        <v>40247.199999999997</v>
      </c>
      <c r="AU15" s="24">
        <v>39189.599999999999</v>
      </c>
      <c r="AV15" s="24">
        <v>39556.250000000007</v>
      </c>
      <c r="AW15" s="24">
        <v>33601.15</v>
      </c>
      <c r="AX15" s="24">
        <v>43654.25</v>
      </c>
      <c r="AY15" s="24">
        <v>58924</v>
      </c>
      <c r="AZ15" s="24">
        <v>59762</v>
      </c>
      <c r="BA15" s="24">
        <v>70068</v>
      </c>
      <c r="BB15" s="24">
        <v>71918.600000000006</v>
      </c>
      <c r="BC15" s="24">
        <v>77614</v>
      </c>
      <c r="BD15" s="24">
        <v>76982.5</v>
      </c>
      <c r="BE15" s="24">
        <v>76235.399999999994</v>
      </c>
      <c r="BF15" s="24">
        <v>73129</v>
      </c>
      <c r="BG15" s="24">
        <v>67351</v>
      </c>
      <c r="BH15" s="24">
        <v>81750</v>
      </c>
      <c r="BI15" s="24">
        <v>85782</v>
      </c>
      <c r="BJ15" s="24">
        <v>83797</v>
      </c>
      <c r="BK15" s="24">
        <v>79482.399999999994</v>
      </c>
      <c r="BL15" s="25">
        <f>83738+163</f>
        <v>83901</v>
      </c>
      <c r="BM15" s="24">
        <v>85510</v>
      </c>
      <c r="BN15" s="24">
        <v>85423</v>
      </c>
      <c r="BO15" s="24">
        <v>96957</v>
      </c>
      <c r="BP15" s="24">
        <v>96698</v>
      </c>
      <c r="BQ15" s="24">
        <v>94465</v>
      </c>
      <c r="BR15" s="24">
        <v>96989</v>
      </c>
      <c r="BS15" s="24">
        <v>96837</v>
      </c>
      <c r="BT15" s="24">
        <v>98560</v>
      </c>
    </row>
    <row r="16" spans="1:72" x14ac:dyDescent="0.2">
      <c r="A16" s="23" t="s">
        <v>4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</v>
      </c>
      <c r="BF16" s="24">
        <v>0</v>
      </c>
      <c r="BG16" s="24">
        <v>0</v>
      </c>
      <c r="BH16" s="24">
        <v>0</v>
      </c>
      <c r="BI16" s="24">
        <v>0</v>
      </c>
      <c r="BJ16" s="24">
        <v>0</v>
      </c>
      <c r="BK16" s="24">
        <v>0</v>
      </c>
      <c r="BL16" s="25">
        <v>0</v>
      </c>
      <c r="BM16" s="24">
        <v>0</v>
      </c>
      <c r="BN16" s="24">
        <v>0</v>
      </c>
      <c r="BO16" s="24">
        <v>0</v>
      </c>
      <c r="BP16" s="24">
        <v>0</v>
      </c>
      <c r="BQ16" s="24">
        <v>0</v>
      </c>
      <c r="BR16" s="24">
        <v>0</v>
      </c>
      <c r="BS16" s="24">
        <v>0</v>
      </c>
      <c r="BT16" s="24">
        <v>0</v>
      </c>
    </row>
    <row r="17" spans="1:72" ht="13.5" x14ac:dyDescent="0.25">
      <c r="A17" s="23" t="s">
        <v>5</v>
      </c>
      <c r="B17" s="24">
        <v>609.6</v>
      </c>
      <c r="C17" s="24">
        <v>194.79999999999998</v>
      </c>
      <c r="D17" s="24">
        <v>0</v>
      </c>
      <c r="E17" s="24">
        <v>54</v>
      </c>
      <c r="F17" s="24">
        <v>32</v>
      </c>
      <c r="G17" s="27">
        <v>540</v>
      </c>
      <c r="H17" s="27">
        <v>237</v>
      </c>
      <c r="I17" s="27">
        <v>29.3</v>
      </c>
      <c r="J17" s="27">
        <v>29.3</v>
      </c>
      <c r="K17" s="27">
        <v>51</v>
      </c>
      <c r="L17" s="24">
        <v>106</v>
      </c>
      <c r="M17" s="24">
        <v>82</v>
      </c>
      <c r="N17" s="24">
        <v>15</v>
      </c>
      <c r="O17" s="24">
        <v>65</v>
      </c>
      <c r="P17" s="24">
        <v>273</v>
      </c>
      <c r="Q17" s="24">
        <v>331</v>
      </c>
      <c r="R17" s="24">
        <v>820</v>
      </c>
      <c r="S17" s="24">
        <v>387</v>
      </c>
      <c r="T17" s="24">
        <v>216</v>
      </c>
      <c r="U17" s="24">
        <v>36</v>
      </c>
      <c r="V17" s="24">
        <v>132</v>
      </c>
      <c r="W17" s="24">
        <v>184</v>
      </c>
      <c r="X17" s="24">
        <v>400</v>
      </c>
      <c r="Y17" s="24">
        <v>438</v>
      </c>
      <c r="Z17" s="24">
        <v>392</v>
      </c>
      <c r="AA17" s="24">
        <v>329</v>
      </c>
      <c r="AB17" s="24">
        <v>207</v>
      </c>
      <c r="AC17" s="24">
        <f>53</f>
        <v>53</v>
      </c>
      <c r="AD17" s="24">
        <f>16</f>
        <v>16</v>
      </c>
      <c r="AE17" s="24">
        <v>20</v>
      </c>
      <c r="AF17" s="24">
        <v>131</v>
      </c>
      <c r="AG17" s="24">
        <v>131</v>
      </c>
      <c r="AH17" s="24">
        <v>128</v>
      </c>
      <c r="AI17" s="24">
        <v>135</v>
      </c>
      <c r="AJ17" s="24">
        <v>32</v>
      </c>
      <c r="AK17" s="24">
        <v>39</v>
      </c>
      <c r="AL17" s="24">
        <v>39</v>
      </c>
      <c r="AM17" s="24">
        <v>36</v>
      </c>
      <c r="AN17" s="24">
        <v>28</v>
      </c>
      <c r="AO17" s="24">
        <v>29</v>
      </c>
      <c r="AP17" s="24">
        <v>14</v>
      </c>
      <c r="AQ17" s="24">
        <v>12</v>
      </c>
      <c r="AR17" s="24">
        <v>17</v>
      </c>
      <c r="AS17" s="24">
        <v>12</v>
      </c>
      <c r="AT17" s="24">
        <v>10.3</v>
      </c>
      <c r="AU17" s="24">
        <v>13.4</v>
      </c>
      <c r="AV17" s="24">
        <v>36</v>
      </c>
      <c r="AW17" s="24">
        <v>20.65</v>
      </c>
      <c r="AX17" s="24">
        <v>33.950000000000003</v>
      </c>
      <c r="AY17" s="24">
        <v>31.95</v>
      </c>
      <c r="AZ17" s="24">
        <v>24.6</v>
      </c>
      <c r="BA17" s="24">
        <v>24.6</v>
      </c>
      <c r="BB17" s="24">
        <v>21.7</v>
      </c>
      <c r="BC17" s="24">
        <v>21.7</v>
      </c>
      <c r="BD17" s="24">
        <v>31.45</v>
      </c>
      <c r="BE17" s="24">
        <v>27.45</v>
      </c>
      <c r="BF17" s="24">
        <v>43.35</v>
      </c>
      <c r="BG17" s="24">
        <v>44.6</v>
      </c>
      <c r="BH17" s="24">
        <v>38.450000000000003</v>
      </c>
      <c r="BI17" s="24">
        <v>61</v>
      </c>
      <c r="BJ17" s="24">
        <v>77</v>
      </c>
      <c r="BK17" s="24">
        <v>35.35</v>
      </c>
      <c r="BL17" s="25">
        <v>45.6</v>
      </c>
      <c r="BM17" s="24">
        <v>40.299999999999997</v>
      </c>
      <c r="BN17" s="24">
        <v>37</v>
      </c>
      <c r="BO17" s="24">
        <v>63</v>
      </c>
      <c r="BP17" s="24">
        <v>35</v>
      </c>
      <c r="BQ17" s="24">
        <v>85</v>
      </c>
      <c r="BR17" s="24">
        <v>139</v>
      </c>
      <c r="BS17" s="24">
        <v>156</v>
      </c>
      <c r="BT17" s="24">
        <v>266</v>
      </c>
    </row>
    <row r="18" spans="1:72" ht="13.5" x14ac:dyDescent="0.25">
      <c r="A18" s="26"/>
      <c r="B18" s="24"/>
      <c r="C18" s="24"/>
      <c r="D18" s="24"/>
      <c r="E18" s="24"/>
      <c r="F18" s="24"/>
      <c r="G18" s="27"/>
      <c r="H18" s="27"/>
      <c r="I18" s="27"/>
      <c r="J18" s="27"/>
      <c r="K18" s="27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5"/>
      <c r="BM18" s="24"/>
      <c r="BN18" s="24"/>
      <c r="BO18" s="24"/>
      <c r="BP18" s="24"/>
      <c r="BQ18" s="24"/>
      <c r="BR18" s="24"/>
      <c r="BS18" s="24"/>
      <c r="BT18" s="24"/>
    </row>
    <row r="19" spans="1:72" s="6" customFormat="1" ht="25.5" x14ac:dyDescent="0.2">
      <c r="A19" s="28" t="s">
        <v>2</v>
      </c>
      <c r="B19" s="21">
        <f t="shared" ref="B19:BM19" si="7">B20+B21</f>
        <v>308.7</v>
      </c>
      <c r="C19" s="21">
        <f t="shared" si="7"/>
        <v>308.7</v>
      </c>
      <c r="D19" s="21">
        <f t="shared" si="7"/>
        <v>333.7</v>
      </c>
      <c r="E19" s="21">
        <f t="shared" si="7"/>
        <v>341.7</v>
      </c>
      <c r="F19" s="21">
        <f t="shared" si="7"/>
        <v>357</v>
      </c>
      <c r="G19" s="21">
        <f t="shared" si="7"/>
        <v>356.5</v>
      </c>
      <c r="H19" s="21">
        <f t="shared" si="7"/>
        <v>346.2</v>
      </c>
      <c r="I19" s="21">
        <f t="shared" si="7"/>
        <v>286.8</v>
      </c>
      <c r="J19" s="21">
        <f t="shared" si="7"/>
        <v>286.8</v>
      </c>
      <c r="K19" s="21">
        <f t="shared" si="7"/>
        <v>310</v>
      </c>
      <c r="L19" s="21">
        <f t="shared" si="7"/>
        <v>329.7</v>
      </c>
      <c r="M19" s="21">
        <f t="shared" si="7"/>
        <v>323.7</v>
      </c>
      <c r="N19" s="21">
        <f t="shared" si="7"/>
        <v>312.7</v>
      </c>
      <c r="O19" s="21">
        <f t="shared" si="7"/>
        <v>309</v>
      </c>
      <c r="P19" s="21">
        <f t="shared" si="7"/>
        <v>296</v>
      </c>
      <c r="Q19" s="21">
        <f t="shared" si="7"/>
        <v>296</v>
      </c>
      <c r="R19" s="21">
        <f t="shared" si="7"/>
        <v>290</v>
      </c>
      <c r="S19" s="21">
        <f t="shared" si="7"/>
        <v>294</v>
      </c>
      <c r="T19" s="21">
        <f t="shared" si="7"/>
        <v>285</v>
      </c>
      <c r="U19" s="21">
        <f t="shared" si="7"/>
        <v>286</v>
      </c>
      <c r="V19" s="21">
        <f t="shared" si="7"/>
        <v>276</v>
      </c>
      <c r="W19" s="21">
        <f t="shared" si="7"/>
        <v>314</v>
      </c>
      <c r="X19" s="21">
        <f t="shared" si="7"/>
        <v>184</v>
      </c>
      <c r="Y19" s="21">
        <f t="shared" si="7"/>
        <v>184</v>
      </c>
      <c r="Z19" s="21">
        <f t="shared" si="7"/>
        <v>173</v>
      </c>
      <c r="AA19" s="21">
        <f t="shared" si="7"/>
        <v>173</v>
      </c>
      <c r="AB19" s="21">
        <f t="shared" si="7"/>
        <v>161</v>
      </c>
      <c r="AC19" s="21">
        <f t="shared" si="7"/>
        <v>173</v>
      </c>
      <c r="AD19" s="21">
        <f t="shared" si="7"/>
        <v>160</v>
      </c>
      <c r="AE19" s="21">
        <f t="shared" si="7"/>
        <v>162</v>
      </c>
      <c r="AF19" s="21">
        <f t="shared" si="7"/>
        <v>150</v>
      </c>
      <c r="AG19" s="21">
        <f t="shared" si="7"/>
        <v>150</v>
      </c>
      <c r="AH19" s="21">
        <f t="shared" si="7"/>
        <v>139</v>
      </c>
      <c r="AI19" s="21">
        <f t="shared" si="7"/>
        <v>139</v>
      </c>
      <c r="AJ19" s="21">
        <f t="shared" si="7"/>
        <v>126</v>
      </c>
      <c r="AK19" s="21">
        <f t="shared" si="7"/>
        <v>125</v>
      </c>
      <c r="AL19" s="21">
        <f t="shared" si="7"/>
        <v>114</v>
      </c>
      <c r="AM19" s="21">
        <f t="shared" si="7"/>
        <v>114</v>
      </c>
      <c r="AN19" s="21">
        <f t="shared" si="7"/>
        <v>102</v>
      </c>
      <c r="AO19" s="21">
        <f t="shared" si="7"/>
        <v>103</v>
      </c>
      <c r="AP19" s="21">
        <f t="shared" si="7"/>
        <v>92</v>
      </c>
      <c r="AQ19" s="21">
        <f t="shared" si="7"/>
        <v>91</v>
      </c>
      <c r="AR19" s="21">
        <f t="shared" si="7"/>
        <v>91</v>
      </c>
      <c r="AS19" s="21">
        <f t="shared" si="7"/>
        <v>80</v>
      </c>
      <c r="AT19" s="21">
        <f t="shared" si="7"/>
        <v>70</v>
      </c>
      <c r="AU19" s="21">
        <f t="shared" si="7"/>
        <v>70</v>
      </c>
      <c r="AV19" s="21">
        <f t="shared" si="7"/>
        <v>71</v>
      </c>
      <c r="AW19" s="21">
        <f t="shared" si="7"/>
        <v>61</v>
      </c>
      <c r="AX19" s="21">
        <f t="shared" si="7"/>
        <v>50</v>
      </c>
      <c r="AY19" s="21">
        <f t="shared" si="7"/>
        <v>50</v>
      </c>
      <c r="AZ19" s="21">
        <f t="shared" si="7"/>
        <v>50</v>
      </c>
      <c r="BA19" s="21">
        <f t="shared" si="7"/>
        <v>37</v>
      </c>
      <c r="BB19" s="21">
        <f t="shared" si="7"/>
        <v>24</v>
      </c>
      <c r="BC19" s="21">
        <f t="shared" si="7"/>
        <v>24</v>
      </c>
      <c r="BD19" s="21">
        <f t="shared" si="7"/>
        <v>24</v>
      </c>
      <c r="BE19" s="21">
        <f t="shared" si="7"/>
        <v>24</v>
      </c>
      <c r="BF19" s="21">
        <f t="shared" si="7"/>
        <v>24</v>
      </c>
      <c r="BG19" s="21">
        <f t="shared" si="7"/>
        <v>24</v>
      </c>
      <c r="BH19" s="21">
        <f t="shared" si="7"/>
        <v>24</v>
      </c>
      <c r="BI19" s="21">
        <f t="shared" si="7"/>
        <v>24</v>
      </c>
      <c r="BJ19" s="21">
        <f t="shared" si="7"/>
        <v>24</v>
      </c>
      <c r="BK19" s="21">
        <f t="shared" si="7"/>
        <v>24</v>
      </c>
      <c r="BL19" s="22">
        <f t="shared" si="7"/>
        <v>24</v>
      </c>
      <c r="BM19" s="21">
        <f t="shared" si="7"/>
        <v>24</v>
      </c>
      <c r="BN19" s="21">
        <f t="shared" ref="BN19:BS19" si="8">BN20+BN21</f>
        <v>24</v>
      </c>
      <c r="BO19" s="21">
        <f t="shared" si="8"/>
        <v>24</v>
      </c>
      <c r="BP19" s="21">
        <f t="shared" si="8"/>
        <v>24</v>
      </c>
      <c r="BQ19" s="21">
        <f t="shared" si="8"/>
        <v>24</v>
      </c>
      <c r="BR19" s="21">
        <f>BR20+BR21</f>
        <v>24</v>
      </c>
      <c r="BS19" s="21">
        <f>BS20+BS21</f>
        <v>24</v>
      </c>
      <c r="BT19" s="21">
        <f>BT20+BT21</f>
        <v>24</v>
      </c>
    </row>
    <row r="20" spans="1:72" s="30" customFormat="1" x14ac:dyDescent="0.2">
      <c r="A20" s="23" t="s">
        <v>23</v>
      </c>
      <c r="B20" s="29">
        <v>82.7</v>
      </c>
      <c r="C20" s="29">
        <v>82.7</v>
      </c>
      <c r="D20" s="29">
        <v>82.7</v>
      </c>
      <c r="E20" s="29">
        <v>82.7</v>
      </c>
      <c r="F20" s="29">
        <v>77</v>
      </c>
      <c r="G20" s="29">
        <v>76.5</v>
      </c>
      <c r="H20" s="29">
        <v>76.2</v>
      </c>
      <c r="I20" s="29">
        <v>75.8</v>
      </c>
      <c r="J20" s="29">
        <v>75.8</v>
      </c>
      <c r="K20" s="29">
        <v>74</v>
      </c>
      <c r="L20" s="29">
        <v>104.7</v>
      </c>
      <c r="M20" s="29">
        <v>104.7</v>
      </c>
      <c r="N20" s="29">
        <v>104.7</v>
      </c>
      <c r="O20" s="24">
        <v>105</v>
      </c>
      <c r="P20" s="24">
        <v>105</v>
      </c>
      <c r="Q20" s="24">
        <v>105</v>
      </c>
      <c r="R20" s="24">
        <v>105</v>
      </c>
      <c r="S20" s="24">
        <v>105</v>
      </c>
      <c r="T20" s="24">
        <v>105</v>
      </c>
      <c r="U20" s="24">
        <v>105</v>
      </c>
      <c r="V20" s="24">
        <v>105</v>
      </c>
      <c r="W20" s="24">
        <v>143</v>
      </c>
      <c r="X20" s="24">
        <v>24</v>
      </c>
      <c r="Y20" s="24">
        <v>24</v>
      </c>
      <c r="Z20" s="24">
        <v>24</v>
      </c>
      <c r="AA20" s="24">
        <v>24</v>
      </c>
      <c r="AB20" s="24">
        <v>24</v>
      </c>
      <c r="AC20" s="24">
        <v>24</v>
      </c>
      <c r="AD20" s="24">
        <v>24</v>
      </c>
      <c r="AE20" s="24">
        <v>24</v>
      </c>
      <c r="AF20" s="24">
        <v>24</v>
      </c>
      <c r="AG20" s="24">
        <v>24</v>
      </c>
      <c r="AH20" s="24">
        <v>24</v>
      </c>
      <c r="AI20" s="24">
        <v>24</v>
      </c>
      <c r="AJ20" s="24">
        <v>24</v>
      </c>
      <c r="AK20" s="24">
        <v>24</v>
      </c>
      <c r="AL20" s="24">
        <v>24</v>
      </c>
      <c r="AM20" s="24">
        <v>24</v>
      </c>
      <c r="AN20" s="24">
        <v>24</v>
      </c>
      <c r="AO20" s="24">
        <v>24</v>
      </c>
      <c r="AP20" s="24">
        <v>24</v>
      </c>
      <c r="AQ20" s="24">
        <v>24</v>
      </c>
      <c r="AR20" s="24">
        <v>24</v>
      </c>
      <c r="AS20" s="24">
        <v>24</v>
      </c>
      <c r="AT20" s="24">
        <v>24</v>
      </c>
      <c r="AU20" s="24">
        <v>24</v>
      </c>
      <c r="AV20" s="24">
        <v>24</v>
      </c>
      <c r="AW20" s="24">
        <v>24</v>
      </c>
      <c r="AX20" s="24">
        <v>24</v>
      </c>
      <c r="AY20" s="24">
        <v>24</v>
      </c>
      <c r="AZ20" s="24">
        <v>24</v>
      </c>
      <c r="BA20" s="24">
        <v>24</v>
      </c>
      <c r="BB20" s="24">
        <v>24</v>
      </c>
      <c r="BC20" s="24">
        <v>24</v>
      </c>
      <c r="BD20" s="24">
        <v>24</v>
      </c>
      <c r="BE20" s="24">
        <v>24</v>
      </c>
      <c r="BF20" s="24">
        <v>24</v>
      </c>
      <c r="BG20" s="24">
        <v>24</v>
      </c>
      <c r="BH20" s="24">
        <v>24</v>
      </c>
      <c r="BI20" s="24">
        <v>24</v>
      </c>
      <c r="BJ20" s="24">
        <v>24</v>
      </c>
      <c r="BK20" s="24">
        <v>24</v>
      </c>
      <c r="BL20" s="25">
        <v>24</v>
      </c>
      <c r="BM20" s="24">
        <v>24</v>
      </c>
      <c r="BN20" s="24">
        <v>24</v>
      </c>
      <c r="BO20" s="24">
        <v>24</v>
      </c>
      <c r="BP20" s="24">
        <v>24</v>
      </c>
      <c r="BQ20" s="24">
        <v>24</v>
      </c>
      <c r="BR20" s="24">
        <v>24</v>
      </c>
      <c r="BS20" s="24">
        <v>24</v>
      </c>
      <c r="BT20" s="24">
        <v>24</v>
      </c>
    </row>
    <row r="21" spans="1:72" s="30" customFormat="1" ht="13.5" x14ac:dyDescent="0.25">
      <c r="A21" s="23" t="s">
        <v>24</v>
      </c>
      <c r="B21" s="24">
        <f>226</f>
        <v>226</v>
      </c>
      <c r="C21" s="24">
        <f>226</f>
        <v>226</v>
      </c>
      <c r="D21" s="24">
        <f>251</f>
        <v>251</v>
      </c>
      <c r="E21" s="24">
        <f>259</f>
        <v>259</v>
      </c>
      <c r="F21" s="24">
        <f>280</f>
        <v>280</v>
      </c>
      <c r="G21" s="27">
        <f>280</f>
        <v>280</v>
      </c>
      <c r="H21" s="27">
        <f>270</f>
        <v>270</v>
      </c>
      <c r="I21" s="27">
        <f>211</f>
        <v>211</v>
      </c>
      <c r="J21" s="27">
        <f>211</f>
        <v>211</v>
      </c>
      <c r="K21" s="27">
        <f>236</f>
        <v>236</v>
      </c>
      <c r="L21" s="24">
        <f>225</f>
        <v>225</v>
      </c>
      <c r="M21" s="24">
        <f>219</f>
        <v>219</v>
      </c>
      <c r="N21" s="24">
        <f>208</f>
        <v>208</v>
      </c>
      <c r="O21" s="24">
        <f>204</f>
        <v>204</v>
      </c>
      <c r="P21" s="24">
        <f>191</f>
        <v>191</v>
      </c>
      <c r="Q21" s="24">
        <f>191</f>
        <v>191</v>
      </c>
      <c r="R21" s="24">
        <f>185</f>
        <v>185</v>
      </c>
      <c r="S21" s="24">
        <f>189</f>
        <v>189</v>
      </c>
      <c r="T21" s="24">
        <f>180</f>
        <v>180</v>
      </c>
      <c r="U21" s="24">
        <v>181</v>
      </c>
      <c r="V21" s="24">
        <v>171</v>
      </c>
      <c r="W21" s="24">
        <v>171</v>
      </c>
      <c r="X21" s="24">
        <v>160</v>
      </c>
      <c r="Y21" s="24">
        <v>160</v>
      </c>
      <c r="Z21" s="24">
        <v>149</v>
      </c>
      <c r="AA21" s="24">
        <v>149</v>
      </c>
      <c r="AB21" s="24">
        <v>137</v>
      </c>
      <c r="AC21" s="24">
        <v>149</v>
      </c>
      <c r="AD21" s="24">
        <v>136</v>
      </c>
      <c r="AE21" s="24">
        <v>138</v>
      </c>
      <c r="AF21" s="24">
        <v>126</v>
      </c>
      <c r="AG21" s="24">
        <v>126</v>
      </c>
      <c r="AH21" s="24">
        <v>115</v>
      </c>
      <c r="AI21" s="24">
        <v>115</v>
      </c>
      <c r="AJ21" s="24">
        <v>102</v>
      </c>
      <c r="AK21" s="24">
        <v>101</v>
      </c>
      <c r="AL21" s="24">
        <v>90</v>
      </c>
      <c r="AM21" s="24">
        <v>90</v>
      </c>
      <c r="AN21" s="24">
        <v>78</v>
      </c>
      <c r="AO21" s="24">
        <v>79</v>
      </c>
      <c r="AP21" s="24">
        <v>68</v>
      </c>
      <c r="AQ21" s="24">
        <v>67</v>
      </c>
      <c r="AR21" s="24">
        <v>67</v>
      </c>
      <c r="AS21" s="24">
        <v>56</v>
      </c>
      <c r="AT21" s="24">
        <v>46</v>
      </c>
      <c r="AU21" s="24">
        <v>46</v>
      </c>
      <c r="AV21" s="24">
        <v>47</v>
      </c>
      <c r="AW21" s="24">
        <v>37</v>
      </c>
      <c r="AX21" s="24">
        <v>26</v>
      </c>
      <c r="AY21" s="24">
        <v>26</v>
      </c>
      <c r="AZ21" s="24">
        <v>26</v>
      </c>
      <c r="BA21" s="24">
        <v>13</v>
      </c>
      <c r="BB21" s="24">
        <v>0</v>
      </c>
      <c r="BC21" s="24">
        <v>0</v>
      </c>
      <c r="BD21" s="24">
        <v>0</v>
      </c>
      <c r="BE21" s="24">
        <v>0</v>
      </c>
      <c r="BF21" s="24">
        <v>0</v>
      </c>
      <c r="BG21" s="24">
        <v>0</v>
      </c>
      <c r="BH21" s="24">
        <v>0</v>
      </c>
      <c r="BI21" s="24">
        <v>0</v>
      </c>
      <c r="BJ21" s="24">
        <v>0</v>
      </c>
      <c r="BK21" s="24">
        <v>0</v>
      </c>
      <c r="BL21" s="25">
        <v>0</v>
      </c>
      <c r="BM21" s="24">
        <v>0</v>
      </c>
      <c r="BN21" s="24">
        <v>0</v>
      </c>
      <c r="BO21" s="24">
        <v>0</v>
      </c>
      <c r="BP21" s="24">
        <v>0</v>
      </c>
      <c r="BQ21" s="24">
        <v>0</v>
      </c>
      <c r="BR21" s="24">
        <v>0</v>
      </c>
      <c r="BS21" s="24">
        <v>0</v>
      </c>
      <c r="BT21" s="24">
        <v>0</v>
      </c>
    </row>
    <row r="22" spans="1:72" ht="26.45" hidden="1" customHeight="1" x14ac:dyDescent="0.2">
      <c r="A22" s="28" t="s">
        <v>21</v>
      </c>
      <c r="B22" s="6">
        <v>4.4000000000000004</v>
      </c>
      <c r="C22" s="6">
        <v>3.4</v>
      </c>
      <c r="D22" s="6">
        <v>3.1</v>
      </c>
      <c r="E22" s="6">
        <v>6.8</v>
      </c>
      <c r="F22" s="6">
        <v>6.2</v>
      </c>
      <c r="G22" s="6">
        <v>6.2</v>
      </c>
      <c r="H22" s="6">
        <v>5.8</v>
      </c>
      <c r="I22" s="6">
        <v>5.4</v>
      </c>
      <c r="J22" s="6">
        <v>5.4</v>
      </c>
      <c r="K22" s="6">
        <v>4.5</v>
      </c>
      <c r="L22" s="6">
        <v>3.9</v>
      </c>
      <c r="M22" s="6">
        <v>3.5</v>
      </c>
      <c r="N22" s="6">
        <v>3.1</v>
      </c>
      <c r="O22" s="6">
        <v>3</v>
      </c>
      <c r="BM22" s="8"/>
      <c r="BP22" s="14"/>
      <c r="BQ22" s="14"/>
      <c r="BR22" s="14"/>
      <c r="BS22" s="14"/>
      <c r="BT22" s="14"/>
    </row>
    <row r="23" spans="1:72" ht="12.2" customHeight="1" x14ac:dyDescent="0.2">
      <c r="A23" s="28"/>
      <c r="B23" s="6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8"/>
      <c r="BM23" s="31"/>
      <c r="BN23" s="31"/>
      <c r="BO23" s="31"/>
      <c r="BP23" s="31"/>
      <c r="BQ23" s="31"/>
      <c r="BR23" s="31"/>
      <c r="BS23" s="31"/>
      <c r="BT23" s="31"/>
    </row>
    <row r="24" spans="1:72" ht="26.45" customHeight="1" x14ac:dyDescent="0.2">
      <c r="A24" s="28" t="s">
        <v>22</v>
      </c>
      <c r="B24" s="6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R24" s="31"/>
      <c r="AS24" s="31"/>
      <c r="AT24" s="31"/>
      <c r="AU24" s="31"/>
      <c r="AV24" s="31"/>
      <c r="AW24" s="31"/>
      <c r="AX24" s="20">
        <f t="shared" ref="AX24:BT24" si="9">AX25</f>
        <v>167</v>
      </c>
      <c r="AY24" s="20">
        <f t="shared" si="9"/>
        <v>116</v>
      </c>
      <c r="AZ24" s="20">
        <f t="shared" si="9"/>
        <v>115</v>
      </c>
      <c r="BA24" s="20">
        <f t="shared" si="9"/>
        <v>113</v>
      </c>
      <c r="BB24" s="32">
        <f t="shared" si="9"/>
        <v>111.94</v>
      </c>
      <c r="BC24" s="32">
        <f t="shared" si="9"/>
        <v>111</v>
      </c>
      <c r="BD24" s="32">
        <f t="shared" si="9"/>
        <v>109.2</v>
      </c>
      <c r="BE24" s="32">
        <f t="shared" si="9"/>
        <v>107.82</v>
      </c>
      <c r="BF24" s="32">
        <f t="shared" si="9"/>
        <v>106.44</v>
      </c>
      <c r="BG24" s="32">
        <f t="shared" si="9"/>
        <v>105.07</v>
      </c>
      <c r="BH24" s="32">
        <f t="shared" si="9"/>
        <v>103.8</v>
      </c>
      <c r="BI24" s="32">
        <f t="shared" si="9"/>
        <v>103</v>
      </c>
      <c r="BJ24" s="32">
        <f t="shared" si="9"/>
        <v>101.4</v>
      </c>
      <c r="BK24" s="32">
        <f t="shared" si="9"/>
        <v>101.14</v>
      </c>
      <c r="BL24" s="33">
        <f t="shared" si="9"/>
        <v>98.89</v>
      </c>
      <c r="BM24" s="32">
        <f t="shared" si="9"/>
        <v>97.6</v>
      </c>
      <c r="BN24" s="32">
        <f t="shared" si="9"/>
        <v>96.3</v>
      </c>
      <c r="BO24" s="32">
        <f t="shared" si="9"/>
        <v>95</v>
      </c>
      <c r="BP24" s="32">
        <f t="shared" si="9"/>
        <v>94</v>
      </c>
      <c r="BQ24" s="32">
        <f t="shared" si="9"/>
        <v>92</v>
      </c>
      <c r="BR24" s="32">
        <f t="shared" si="9"/>
        <v>91</v>
      </c>
      <c r="BS24" s="32">
        <f t="shared" si="9"/>
        <v>89</v>
      </c>
      <c r="BT24" s="32">
        <f t="shared" si="9"/>
        <v>0</v>
      </c>
    </row>
    <row r="25" spans="1:72" ht="12.75" customHeight="1" x14ac:dyDescent="0.2">
      <c r="A25" s="34" t="s">
        <v>23</v>
      </c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8"/>
      <c r="AR25" s="37"/>
      <c r="AS25" s="37"/>
      <c r="AT25" s="37"/>
      <c r="AU25" s="37"/>
      <c r="AV25" s="37"/>
      <c r="AW25" s="37"/>
      <c r="AX25" s="37">
        <v>167</v>
      </c>
      <c r="AY25" s="37">
        <v>116</v>
      </c>
      <c r="AZ25" s="37">
        <v>115</v>
      </c>
      <c r="BA25" s="37">
        <v>113</v>
      </c>
      <c r="BB25" s="39">
        <v>111.94</v>
      </c>
      <c r="BC25" s="39">
        <v>111</v>
      </c>
      <c r="BD25" s="39">
        <v>109.2</v>
      </c>
      <c r="BE25" s="39">
        <v>107.82</v>
      </c>
      <c r="BF25" s="39">
        <v>106.44</v>
      </c>
      <c r="BG25" s="39">
        <v>105.07</v>
      </c>
      <c r="BH25" s="39">
        <v>103.8</v>
      </c>
      <c r="BI25" s="39">
        <v>103</v>
      </c>
      <c r="BJ25" s="39">
        <v>101.4</v>
      </c>
      <c r="BK25" s="39">
        <v>101.14</v>
      </c>
      <c r="BL25" s="40">
        <v>98.89</v>
      </c>
      <c r="BM25" s="39">
        <v>97.6</v>
      </c>
      <c r="BN25" s="39">
        <v>96.3</v>
      </c>
      <c r="BO25" s="39">
        <v>95</v>
      </c>
      <c r="BP25" s="39">
        <v>94</v>
      </c>
      <c r="BQ25" s="39">
        <v>92</v>
      </c>
      <c r="BR25" s="39">
        <v>91</v>
      </c>
      <c r="BS25" s="39">
        <v>89</v>
      </c>
      <c r="BT25" s="39">
        <v>0</v>
      </c>
    </row>
    <row r="26" spans="1:72" ht="15" customHeight="1" x14ac:dyDescent="0.2">
      <c r="A26" s="41" t="s">
        <v>20</v>
      </c>
      <c r="B26" s="30"/>
      <c r="C26" s="30"/>
      <c r="D26" s="30"/>
      <c r="E26" s="30"/>
      <c r="F26" s="30"/>
      <c r="G26" s="30"/>
      <c r="H26" s="30"/>
      <c r="I26" s="42"/>
      <c r="J26" s="42"/>
      <c r="K26" s="42"/>
      <c r="L26" s="42"/>
      <c r="M26" s="42"/>
      <c r="N26" s="42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72" ht="15" customHeight="1" x14ac:dyDescent="0.2">
      <c r="A27" s="43" t="s">
        <v>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</row>
    <row r="28" spans="1:72" ht="15" customHeight="1" x14ac:dyDescent="0.2">
      <c r="A28" s="41" t="s">
        <v>31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pans="1:72" ht="15" customHeight="1" x14ac:dyDescent="0.2">
      <c r="A29" s="43" t="s">
        <v>27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5"/>
      <c r="AC29" s="45"/>
      <c r="AD29" s="45"/>
    </row>
    <row r="30" spans="1:72" ht="15" customHeight="1" x14ac:dyDescent="0.2">
      <c r="A30" s="41" t="s">
        <v>12</v>
      </c>
    </row>
    <row r="34" spans="2:47" x14ac:dyDescent="0.2">
      <c r="M34" s="3"/>
      <c r="N34" s="3"/>
      <c r="T34" s="4"/>
      <c r="U34" s="4"/>
      <c r="V34" s="4"/>
      <c r="W34" s="4"/>
      <c r="X34" s="4"/>
      <c r="Y34" s="4"/>
    </row>
    <row r="36" spans="2:47" x14ac:dyDescent="0.2">
      <c r="I36" s="3"/>
      <c r="J36" s="3"/>
      <c r="K36" s="3"/>
      <c r="L36" s="3"/>
      <c r="M36" s="3"/>
      <c r="N36" s="3"/>
    </row>
    <row r="37" spans="2:47" x14ac:dyDescent="0.2">
      <c r="I37" s="3"/>
      <c r="J37" s="3"/>
      <c r="K37" s="3"/>
      <c r="L37" s="3"/>
      <c r="M37" s="3"/>
      <c r="N37" s="3"/>
    </row>
    <row r="40" spans="2:47" x14ac:dyDescent="0.2"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</row>
  </sheetData>
  <mergeCells count="20">
    <mergeCell ref="BM5:BP5"/>
    <mergeCell ref="AO5:AR5"/>
    <mergeCell ref="Q5:T5"/>
    <mergeCell ref="AG5:AJ5"/>
    <mergeCell ref="BI5:BL5"/>
    <mergeCell ref="U5:X5"/>
    <mergeCell ref="AK5:AN5"/>
    <mergeCell ref="Y5:AB5"/>
    <mergeCell ref="AC5:AF5"/>
    <mergeCell ref="BA5:BD5"/>
    <mergeCell ref="BE5:BH5"/>
    <mergeCell ref="A2:BT2"/>
    <mergeCell ref="A4:BT4"/>
    <mergeCell ref="BQ5:BT5"/>
    <mergeCell ref="AW5:AZ5"/>
    <mergeCell ref="B5:D5"/>
    <mergeCell ref="E5:H5"/>
    <mergeCell ref="I5:L5"/>
    <mergeCell ref="M5:P5"/>
    <mergeCell ref="AS5:AV5"/>
  </mergeCells>
  <phoneticPr fontId="13" type="noConversion"/>
  <pageMargins left="0.47" right="0.45" top="0.75" bottom="0.75" header="0.3" footer="0.3"/>
  <pageSetup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64ADB13EAD0244AD330F302E84D579" ma:contentTypeVersion="1" ma:contentTypeDescription="Create a new document." ma:contentTypeScope="" ma:versionID="14e72610c8f811098bb9336d7d405f0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EEE77F-B102-481B-8D40-7F75424CA1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A9BF20-4DC1-4AB7-AAE0-B8D5D4762785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C22A2BC-1257-4866-995D-8579BBF704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Ministry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kdomah</dc:creator>
  <cp:lastModifiedBy>Office of Director</cp:lastModifiedBy>
  <cp:lastPrinted>2021-04-30T05:53:17Z</cp:lastPrinted>
  <dcterms:created xsi:type="dcterms:W3CDTF">2008-06-05T11:06:18Z</dcterms:created>
  <dcterms:modified xsi:type="dcterms:W3CDTF">2026-01-30T12:13:20Z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0x0101007E64ADB13EAD0244AD330F302E84D579</vt:lpwstr>
  </property>
</Properties>
</file>