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Teckranee Back up-Nov 2021 &amp; March 2022\RISHA\NSDP\Historical Series\2022\4. April\4. 29.04\"/>
    </mc:Choice>
  </mc:AlternateContent>
  <xr:revisionPtr revIDLastSave="0" documentId="13_ncr:1_{6E641526-41E8-4565-9909-102594C2BE19}" xr6:coauthVersionLast="47" xr6:coauthVersionMax="47" xr10:uidLastSave="{00000000-0000-0000-0000-000000000000}"/>
  <bookViews>
    <workbookView xWindow="-120" yWindow="-120" windowWidth="20730" windowHeight="11160" xr2:uid="{00000000-000D-0000-FFFF-FFFF00000000}"/>
  </bookViews>
  <sheets>
    <sheet name="GED" sheetId="2" r:id="rId1"/>
  </sheets>
  <externalReferences>
    <externalReference r:id="rId2"/>
    <externalReference r:id="rId3"/>
    <externalReference r:id="rId4"/>
    <externalReference r:id="rId5"/>
    <externalReference r:id="rId6"/>
    <externalReference r:id="rId7"/>
  </externalReferences>
  <definedNames>
    <definedName name="_bdm1">#REF!</definedName>
    <definedName name="a">'[1]10'!#REF!</definedName>
    <definedName name="aa">'[1]10'!#REF!</definedName>
    <definedName name="bb">'[2]10'!#REF!</definedName>
    <definedName name="BDM">#REF!</definedName>
    <definedName name="BDMM">#REF!</definedName>
    <definedName name="capital">[3]Static!$B$3</definedName>
    <definedName name="client">#REF!</definedName>
    <definedName name="data_8.4">#REF!</definedName>
    <definedName name="DATE">#REF!</definedName>
    <definedName name="DBML">#REF!</definedName>
    <definedName name="ftykffk">'[2]10'!#REF!</definedName>
    <definedName name="G">#REF!</definedName>
    <definedName name="high">[3]Loanstats!$S$4:$Y$38</definedName>
    <definedName name="I">#REF!</definedName>
    <definedName name="II">'[1]10'!#REF!</definedName>
    <definedName name="III">'[1]10'!#REF!</definedName>
    <definedName name="interest">[4]depoStats!$B$2:$H$50</definedName>
    <definedName name="INTERESTLOAN">[3]Loanstats!$C$3:$I$36</definedName>
    <definedName name="IV">'[1]10'!#REF!</definedName>
    <definedName name="LIST">[5]List!$A$11:$E$963</definedName>
    <definedName name="loan">[3]Loan!$Q$15:$Q$127</definedName>
    <definedName name="MUR">'[6]Input Sheet'!$B$4</definedName>
    <definedName name="MUR_loan">[3]Loan!$Q$15:$Q$133</definedName>
    <definedName name="MURCol">[3]Deposits!$AC$15:$AC$773</definedName>
    <definedName name="OtherCCY">[4]depoStats!$J$2:$O$50</definedName>
    <definedName name="OTHERCCY_Loan">[3]Loanstats!$K$3:$P$27</definedName>
    <definedName name="OUTPUT">#REF!</definedName>
    <definedName name="_xlnm.Print_Area" localSheetId="0">GED!$A$1:$AU$76</definedName>
    <definedName name="_xlnm.Print_Area">#REF!</definedName>
    <definedName name="PRINT_AREA_MI">#REF!</definedName>
    <definedName name="sector">'[4]8SDM'!$A$11:$B$153</definedName>
    <definedName name="USD">[4]Static!$B$8</definedName>
    <definedName name="V">'[1]10'!#REF!</definedName>
    <definedName name="VI">'[1]10'!#REF!</definedName>
    <definedName name="VII">'[1]10'!#REF!</definedName>
    <definedName name="vvv">'[2]10'!#REF!</definedName>
    <definedName name="wrn.Dept._.reporting." hidden="1">{#N/A,#N/A,TRUE,"Table1USD";#N/A,#N/A,TRUE,"Table1GBP"}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7" i="2" l="1"/>
  <c r="AY65" i="2"/>
  <c r="AX65" i="2"/>
  <c r="AW65" i="2"/>
  <c r="AV65" i="2"/>
  <c r="AU65" i="2"/>
  <c r="AU52" i="2" s="1"/>
  <c r="AT65" i="2"/>
  <c r="AS65" i="2"/>
  <c r="AS52" i="2" s="1"/>
  <c r="AS44" i="2" s="1"/>
  <c r="AR65" i="2"/>
  <c r="AQ65" i="2"/>
  <c r="AP65" i="2"/>
  <c r="AO65" i="2"/>
  <c r="AN65" i="2"/>
  <c r="AM65" i="2"/>
  <c r="AM52" i="2" s="1"/>
  <c r="AL65" i="2"/>
  <c r="AK65" i="2"/>
  <c r="AK52" i="2" s="1"/>
  <c r="AK44" i="2" s="1"/>
  <c r="AJ65" i="2"/>
  <c r="AI65" i="2"/>
  <c r="AH65" i="2"/>
  <c r="AG65" i="2"/>
  <c r="AF65" i="2"/>
  <c r="AE65" i="2"/>
  <c r="AE52" i="2" s="1"/>
  <c r="AD65" i="2"/>
  <c r="AC65" i="2"/>
  <c r="AB65" i="2"/>
  <c r="AA65" i="2"/>
  <c r="Z65" i="2"/>
  <c r="Y65" i="2"/>
  <c r="X65" i="2"/>
  <c r="W65" i="2"/>
  <c r="V65" i="2"/>
  <c r="U65" i="2"/>
  <c r="T65" i="2"/>
  <c r="S65" i="2"/>
  <c r="R65" i="2"/>
  <c r="R52" i="2" s="1"/>
  <c r="Q65" i="2"/>
  <c r="P65" i="2"/>
  <c r="O65" i="2"/>
  <c r="O52" i="2" s="1"/>
  <c r="AD59" i="2"/>
  <c r="AC59" i="2"/>
  <c r="AC56" i="2" s="1"/>
  <c r="AC52" i="2" s="1"/>
  <c r="AC44" i="2" s="1"/>
  <c r="AB59" i="2"/>
  <c r="AA59" i="2"/>
  <c r="Z59" i="2"/>
  <c r="Z56" i="2" s="1"/>
  <c r="Y59" i="2"/>
  <c r="X59" i="2"/>
  <c r="W59" i="2"/>
  <c r="W56" i="2" s="1"/>
  <c r="W52" i="2" s="1"/>
  <c r="V59" i="2"/>
  <c r="U59" i="2"/>
  <c r="U56" i="2" s="1"/>
  <c r="U52" i="2" s="1"/>
  <c r="U44" i="2" s="1"/>
  <c r="T59" i="2"/>
  <c r="S59" i="2"/>
  <c r="AV58" i="2"/>
  <c r="AV56" i="2" s="1"/>
  <c r="AV52" i="2" s="1"/>
  <c r="AV44" i="2" s="1"/>
  <c r="AP58" i="2"/>
  <c r="AO58" i="2"/>
  <c r="AN58" i="2"/>
  <c r="AN56" i="2" s="1"/>
  <c r="AN52" i="2" s="1"/>
  <c r="AN44" i="2" s="1"/>
  <c r="AM58" i="2"/>
  <c r="AL58" i="2"/>
  <c r="AL56" i="2" s="1"/>
  <c r="AK58" i="2"/>
  <c r="AJ58" i="2"/>
  <c r="AI58" i="2"/>
  <c r="AI56" i="2" s="1"/>
  <c r="AH58" i="2"/>
  <c r="AG58" i="2"/>
  <c r="AF58" i="2"/>
  <c r="AF56" i="2" s="1"/>
  <c r="AF52" i="2" s="1"/>
  <c r="AF44" i="2" s="1"/>
  <c r="AE58" i="2"/>
  <c r="AD58" i="2"/>
  <c r="AD56" i="2" s="1"/>
  <c r="AC58" i="2"/>
  <c r="AB58" i="2"/>
  <c r="AA58" i="2"/>
  <c r="AA56" i="2" s="1"/>
  <c r="Z58" i="2"/>
  <c r="Y58" i="2"/>
  <c r="X58" i="2"/>
  <c r="X56" i="2" s="1"/>
  <c r="X52" i="2" s="1"/>
  <c r="X44" i="2" s="1"/>
  <c r="W58" i="2"/>
  <c r="V58" i="2"/>
  <c r="V56" i="2" s="1"/>
  <c r="U58" i="2"/>
  <c r="T58" i="2"/>
  <c r="S58" i="2"/>
  <c r="S56" i="2" s="1"/>
  <c r="S52" i="2" s="1"/>
  <c r="AY56" i="2"/>
  <c r="AX56" i="2"/>
  <c r="AW56" i="2"/>
  <c r="AU56" i="2"/>
  <c r="AT56" i="2"/>
  <c r="AS56" i="2"/>
  <c r="AR56" i="2"/>
  <c r="AQ56" i="2"/>
  <c r="AP56" i="2"/>
  <c r="AO56" i="2"/>
  <c r="AM56" i="2"/>
  <c r="AK56" i="2"/>
  <c r="AJ56" i="2"/>
  <c r="AH56" i="2"/>
  <c r="AG56" i="2"/>
  <c r="AE56" i="2"/>
  <c r="AB56" i="2"/>
  <c r="Y56" i="2"/>
  <c r="T56" i="2"/>
  <c r="R56" i="2"/>
  <c r="Q56" i="2"/>
  <c r="P56" i="2"/>
  <c r="O56" i="2"/>
  <c r="N56" i="2"/>
  <c r="M56" i="2"/>
  <c r="L56" i="2"/>
  <c r="K56" i="2"/>
  <c r="J56" i="2"/>
  <c r="I56" i="2"/>
  <c r="H56" i="2"/>
  <c r="G56" i="2"/>
  <c r="F56" i="2"/>
  <c r="E56" i="2"/>
  <c r="D56" i="2"/>
  <c r="C56" i="2"/>
  <c r="B56" i="2"/>
  <c r="AY53" i="2"/>
  <c r="AY52" i="2" s="1"/>
  <c r="AX53" i="2"/>
  <c r="AX52" i="2" s="1"/>
  <c r="AW53" i="2"/>
  <c r="AV53" i="2"/>
  <c r="AU53" i="2"/>
  <c r="AT53" i="2"/>
  <c r="AT52" i="2" s="1"/>
  <c r="AS53" i="2"/>
  <c r="AR53" i="2"/>
  <c r="AQ53" i="2"/>
  <c r="AQ52" i="2" s="1"/>
  <c r="AP53" i="2"/>
  <c r="AP52" i="2" s="1"/>
  <c r="AO53" i="2"/>
  <c r="AN53" i="2"/>
  <c r="AM53" i="2"/>
  <c r="AL53" i="2"/>
  <c r="AK53" i="2"/>
  <c r="AJ53" i="2"/>
  <c r="AI53" i="2"/>
  <c r="AI52" i="2" s="1"/>
  <c r="AH53" i="2"/>
  <c r="AH52" i="2" s="1"/>
  <c r="AG53" i="2"/>
  <c r="AF53" i="2"/>
  <c r="AE53" i="2"/>
  <c r="AD53" i="2"/>
  <c r="AC53" i="2"/>
  <c r="AB53" i="2"/>
  <c r="AA53" i="2"/>
  <c r="AA52" i="2" s="1"/>
  <c r="Z53" i="2"/>
  <c r="Z52" i="2" s="1"/>
  <c r="Y53" i="2"/>
  <c r="X53" i="2"/>
  <c r="W53" i="2"/>
  <c r="V53" i="2"/>
  <c r="AW52" i="2"/>
  <c r="AR52" i="2"/>
  <c r="AR44" i="2" s="1"/>
  <c r="AO52" i="2"/>
  <c r="AJ52" i="2"/>
  <c r="AJ44" i="2" s="1"/>
  <c r="AG52" i="2"/>
  <c r="AB52" i="2"/>
  <c r="AB44" i="2" s="1"/>
  <c r="Y52" i="2"/>
  <c r="T52" i="2"/>
  <c r="T44" i="2" s="1"/>
  <c r="Q52" i="2"/>
  <c r="P52" i="2"/>
  <c r="N52" i="2"/>
  <c r="M52" i="2"/>
  <c r="L52" i="2"/>
  <c r="L44" i="2" s="1"/>
  <c r="K52" i="2"/>
  <c r="J52" i="2"/>
  <c r="I52" i="2"/>
  <c r="H52" i="2"/>
  <c r="G52" i="2"/>
  <c r="F52" i="2"/>
  <c r="E52" i="2"/>
  <c r="D52" i="2"/>
  <c r="D44" i="2" s="1"/>
  <c r="C52" i="2"/>
  <c r="B52" i="2"/>
  <c r="AY45" i="2"/>
  <c r="AX45" i="2"/>
  <c r="AX44" i="2" s="1"/>
  <c r="AW45" i="2"/>
  <c r="AW44" i="2" s="1"/>
  <c r="AV45" i="2"/>
  <c r="AU45" i="2"/>
  <c r="AT45" i="2"/>
  <c r="AS45" i="2"/>
  <c r="AR45" i="2"/>
  <c r="AQ45" i="2"/>
  <c r="AP45" i="2"/>
  <c r="AP44" i="2" s="1"/>
  <c r="AO45" i="2"/>
  <c r="AO44" i="2" s="1"/>
  <c r="AN45" i="2"/>
  <c r="AM45" i="2"/>
  <c r="AL45" i="2"/>
  <c r="AK45" i="2"/>
  <c r="AJ45" i="2"/>
  <c r="AI45" i="2"/>
  <c r="AH45" i="2"/>
  <c r="AH44" i="2" s="1"/>
  <c r="AG45" i="2"/>
  <c r="AG44" i="2" s="1"/>
  <c r="AF45" i="2"/>
  <c r="AE45" i="2"/>
  <c r="AD45" i="2"/>
  <c r="AC45" i="2"/>
  <c r="AB45" i="2"/>
  <c r="AA45" i="2"/>
  <c r="Z45" i="2"/>
  <c r="Z44" i="2" s="1"/>
  <c r="Y45" i="2"/>
  <c r="Y44" i="2" s="1"/>
  <c r="X45" i="2"/>
  <c r="W45" i="2"/>
  <c r="V45" i="2"/>
  <c r="U45" i="2"/>
  <c r="T45" i="2"/>
  <c r="S45" i="2"/>
  <c r="S44" i="2" s="1"/>
  <c r="R45" i="2"/>
  <c r="R44" i="2" s="1"/>
  <c r="Q45" i="2"/>
  <c r="Q44" i="2" s="1"/>
  <c r="P45" i="2"/>
  <c r="O45" i="2"/>
  <c r="N45" i="2"/>
  <c r="N44" i="2" s="1"/>
  <c r="M45" i="2"/>
  <c r="L45" i="2"/>
  <c r="K45" i="2"/>
  <c r="K44" i="2" s="1"/>
  <c r="J45" i="2"/>
  <c r="J44" i="2" s="1"/>
  <c r="I45" i="2"/>
  <c r="I44" i="2" s="1"/>
  <c r="H45" i="2"/>
  <c r="G45" i="2"/>
  <c r="G44" i="2" s="1"/>
  <c r="F45" i="2"/>
  <c r="F44" i="2" s="1"/>
  <c r="E45" i="2"/>
  <c r="D45" i="2"/>
  <c r="C45" i="2"/>
  <c r="C44" i="2" s="1"/>
  <c r="B45" i="2"/>
  <c r="B44" i="2" s="1"/>
  <c r="P44" i="2"/>
  <c r="M44" i="2"/>
  <c r="H44" i="2"/>
  <c r="E44"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AY32" i="2"/>
  <c r="AY31" i="2" s="1"/>
  <c r="AX32" i="2"/>
  <c r="AW32" i="2"/>
  <c r="AW31" i="2" s="1"/>
  <c r="AV32" i="2"/>
  <c r="AU32" i="2"/>
  <c r="AU31" i="2" s="1"/>
  <c r="AT32" i="2"/>
  <c r="AS32" i="2"/>
  <c r="AR32" i="2"/>
  <c r="AR31" i="2" s="1"/>
  <c r="AQ32" i="2"/>
  <c r="AQ31" i="2" s="1"/>
  <c r="AP32" i="2"/>
  <c r="AO32" i="2"/>
  <c r="AO31" i="2" s="1"/>
  <c r="AN32" i="2"/>
  <c r="AM32" i="2"/>
  <c r="AM31" i="2" s="1"/>
  <c r="AL32" i="2"/>
  <c r="AK32" i="2"/>
  <c r="AJ32" i="2"/>
  <c r="AJ31" i="2" s="1"/>
  <c r="AI32" i="2"/>
  <c r="AI31" i="2" s="1"/>
  <c r="AH32" i="2"/>
  <c r="AG32" i="2"/>
  <c r="AG31" i="2" s="1"/>
  <c r="AF32" i="2"/>
  <c r="AE32" i="2"/>
  <c r="AE31" i="2" s="1"/>
  <c r="AD32" i="2"/>
  <c r="AC32" i="2"/>
  <c r="AB32" i="2"/>
  <c r="AB31" i="2" s="1"/>
  <c r="AA32" i="2"/>
  <c r="AA31" i="2" s="1"/>
  <c r="Z32" i="2"/>
  <c r="Y32" i="2"/>
  <c r="Y31" i="2" s="1"/>
  <c r="X32" i="2"/>
  <c r="W32" i="2"/>
  <c r="W31" i="2" s="1"/>
  <c r="V32" i="2"/>
  <c r="U32" i="2"/>
  <c r="T32" i="2"/>
  <c r="T31" i="2" s="1"/>
  <c r="S32" i="2"/>
  <c r="S31" i="2" s="1"/>
  <c r="R32" i="2"/>
  <c r="Q32" i="2"/>
  <c r="Q31" i="2" s="1"/>
  <c r="P32" i="2"/>
  <c r="O32" i="2"/>
  <c r="O31" i="2" s="1"/>
  <c r="M32" i="2"/>
  <c r="L32" i="2"/>
  <c r="K32" i="2"/>
  <c r="K31" i="2" s="1"/>
  <c r="J32" i="2"/>
  <c r="I32" i="2"/>
  <c r="H32" i="2"/>
  <c r="H31" i="2" s="1"/>
  <c r="G32" i="2"/>
  <c r="G31" i="2" s="1"/>
  <c r="F32" i="2"/>
  <c r="F31" i="2" s="1"/>
  <c r="E32" i="2"/>
  <c r="D32" i="2"/>
  <c r="C32" i="2"/>
  <c r="C31" i="2" s="1"/>
  <c r="B32" i="2"/>
  <c r="AX31" i="2"/>
  <c r="AV31" i="2"/>
  <c r="AT31" i="2"/>
  <c r="AS31" i="2"/>
  <c r="AP31" i="2"/>
  <c r="AN31" i="2"/>
  <c r="AL31" i="2"/>
  <c r="AK31" i="2"/>
  <c r="AH31" i="2"/>
  <c r="AF31" i="2"/>
  <c r="AD31" i="2"/>
  <c r="AC31" i="2"/>
  <c r="Z31" i="2"/>
  <c r="X31" i="2"/>
  <c r="V31" i="2"/>
  <c r="U31" i="2"/>
  <c r="R31" i="2"/>
  <c r="P31" i="2"/>
  <c r="N31" i="2"/>
  <c r="M31" i="2"/>
  <c r="L31" i="2"/>
  <c r="J31" i="2"/>
  <c r="I31" i="2"/>
  <c r="E31" i="2"/>
  <c r="D31" i="2"/>
  <c r="B31" i="2"/>
  <c r="Y26" i="2"/>
  <c r="X26" i="2"/>
  <c r="W26" i="2"/>
  <c r="V26" i="2"/>
  <c r="U26" i="2"/>
  <c r="T26" i="2"/>
  <c r="AY25" i="2"/>
  <c r="AX25" i="2"/>
  <c r="AW25" i="2"/>
  <c r="AV25" i="2"/>
  <c r="AV18" i="2" s="1"/>
  <c r="AU25" i="2"/>
  <c r="AT25" i="2"/>
  <c r="AS25" i="2"/>
  <c r="AS18" i="2" s="1"/>
  <c r="AR25" i="2"/>
  <c r="AQ25" i="2"/>
  <c r="AP25" i="2"/>
  <c r="AO25" i="2"/>
  <c r="AN25" i="2"/>
  <c r="AN18" i="2" s="1"/>
  <c r="AM25" i="2"/>
  <c r="AL25" i="2"/>
  <c r="AK25" i="2"/>
  <c r="AK18" i="2" s="1"/>
  <c r="AJ25" i="2"/>
  <c r="AI25" i="2"/>
  <c r="AH25" i="2"/>
  <c r="AG25" i="2"/>
  <c r="AF25" i="2"/>
  <c r="AF18" i="2" s="1"/>
  <c r="AE25" i="2"/>
  <c r="AD25" i="2"/>
  <c r="AC25" i="2"/>
  <c r="AC18" i="2" s="1"/>
  <c r="AB25" i="2"/>
  <c r="AA25" i="2"/>
  <c r="Z25" i="2"/>
  <c r="Y25" i="2"/>
  <c r="X25" i="2"/>
  <c r="X18" i="2" s="1"/>
  <c r="W25" i="2"/>
  <c r="V25" i="2"/>
  <c r="U25" i="2"/>
  <c r="U18" i="2" s="1"/>
  <c r="T25" i="2"/>
  <c r="S25" i="2"/>
  <c r="R25" i="2"/>
  <c r="Q25" i="2"/>
  <c r="P25" i="2"/>
  <c r="P18" i="2" s="1"/>
  <c r="O25" i="2"/>
  <c r="N25" i="2"/>
  <c r="M25" i="2"/>
  <c r="M18" i="2" s="1"/>
  <c r="L25" i="2"/>
  <c r="K25" i="2"/>
  <c r="J25" i="2"/>
  <c r="I25" i="2"/>
  <c r="H25" i="2"/>
  <c r="H18" i="2" s="1"/>
  <c r="G25" i="2"/>
  <c r="F25" i="2"/>
  <c r="E25" i="2"/>
  <c r="E18" i="2" s="1"/>
  <c r="D25" i="2"/>
  <c r="C25" i="2"/>
  <c r="B25" i="2"/>
  <c r="AY19" i="2"/>
  <c r="AY18" i="2" s="1"/>
  <c r="AX19" i="2"/>
  <c r="AX18" i="2" s="1"/>
  <c r="AW19" i="2"/>
  <c r="AV19" i="2"/>
  <c r="AU19" i="2"/>
  <c r="AU18" i="2" s="1"/>
  <c r="AT19" i="2"/>
  <c r="AS19" i="2"/>
  <c r="AR19" i="2"/>
  <c r="AR18" i="2" s="1"/>
  <c r="AQ19" i="2"/>
  <c r="AQ18" i="2" s="1"/>
  <c r="AP19" i="2"/>
  <c r="AP18" i="2" s="1"/>
  <c r="AO19" i="2"/>
  <c r="AN19" i="2"/>
  <c r="AM19" i="2"/>
  <c r="AM18" i="2" s="1"/>
  <c r="AL19" i="2"/>
  <c r="AK19" i="2"/>
  <c r="AJ19" i="2"/>
  <c r="AJ18" i="2" s="1"/>
  <c r="AI19" i="2"/>
  <c r="AI18" i="2" s="1"/>
  <c r="AH19" i="2"/>
  <c r="AH18" i="2" s="1"/>
  <c r="AG19" i="2"/>
  <c r="AF19" i="2"/>
  <c r="AE19" i="2"/>
  <c r="AE18" i="2" s="1"/>
  <c r="AD19" i="2"/>
  <c r="AC19" i="2"/>
  <c r="AB19" i="2"/>
  <c r="AB18" i="2" s="1"/>
  <c r="AA19" i="2"/>
  <c r="AA18" i="2" s="1"/>
  <c r="Z19" i="2"/>
  <c r="Z18" i="2" s="1"/>
  <c r="Y19" i="2"/>
  <c r="X19" i="2"/>
  <c r="W19" i="2"/>
  <c r="W18" i="2" s="1"/>
  <c r="V19" i="2"/>
  <c r="U19" i="2"/>
  <c r="T19" i="2"/>
  <c r="T18" i="2" s="1"/>
  <c r="S19" i="2"/>
  <c r="S18" i="2" s="1"/>
  <c r="R19" i="2"/>
  <c r="R18" i="2" s="1"/>
  <c r="Q19" i="2"/>
  <c r="P19" i="2"/>
  <c r="O19" i="2"/>
  <c r="O18" i="2" s="1"/>
  <c r="N19" i="2"/>
  <c r="M19" i="2"/>
  <c r="L19" i="2"/>
  <c r="L18" i="2" s="1"/>
  <c r="K19" i="2"/>
  <c r="K18" i="2" s="1"/>
  <c r="J19" i="2"/>
  <c r="J18" i="2" s="1"/>
  <c r="I19" i="2"/>
  <c r="H19" i="2"/>
  <c r="G19" i="2"/>
  <c r="G18" i="2" s="1"/>
  <c r="F19" i="2"/>
  <c r="E19" i="2"/>
  <c r="D19" i="2"/>
  <c r="D18" i="2" s="1"/>
  <c r="C19" i="2"/>
  <c r="C18" i="2" s="1"/>
  <c r="B19" i="2"/>
  <c r="B18" i="2" s="1"/>
  <c r="AW18" i="2"/>
  <c r="AT18" i="2"/>
  <c r="AO18" i="2"/>
  <c r="AL18" i="2"/>
  <c r="AG18" i="2"/>
  <c r="AD18" i="2"/>
  <c r="Y18" i="2"/>
  <c r="V18" i="2"/>
  <c r="Q18" i="2"/>
  <c r="N18" i="2"/>
  <c r="I18" i="2"/>
  <c r="F18" i="2"/>
  <c r="Z14" i="2"/>
  <c r="Y14" i="2"/>
  <c r="X14" i="2"/>
  <c r="W14" i="2"/>
  <c r="W12" i="2" s="1"/>
  <c r="V14" i="2"/>
  <c r="U14" i="2"/>
  <c r="T14" i="2"/>
  <c r="S14" i="2"/>
  <c r="S12" i="2" s="1"/>
  <c r="R14" i="2"/>
  <c r="Q14" i="2"/>
  <c r="P14" i="2"/>
  <c r="O14" i="2"/>
  <c r="O12" i="2" s="1"/>
  <c r="N14" i="2"/>
  <c r="M14" i="2"/>
  <c r="L14" i="2"/>
  <c r="K14" i="2"/>
  <c r="K12" i="2" s="1"/>
  <c r="J14" i="2"/>
  <c r="I14" i="2"/>
  <c r="H14" i="2"/>
  <c r="G14" i="2"/>
  <c r="G12" i="2" s="1"/>
  <c r="F14" i="2"/>
  <c r="E14" i="2"/>
  <c r="D14" i="2"/>
  <c r="C14" i="2"/>
  <c r="C12" i="2" s="1"/>
  <c r="B14" i="2"/>
  <c r="AS13" i="2"/>
  <c r="AY12" i="2"/>
  <c r="AX12" i="2"/>
  <c r="AW12" i="2"/>
  <c r="AV12" i="2"/>
  <c r="AV5" i="2" s="1"/>
  <c r="AU12" i="2"/>
  <c r="AT12" i="2"/>
  <c r="AS12" i="2"/>
  <c r="AS5" i="2" s="1"/>
  <c r="AR12" i="2"/>
  <c r="AQ12" i="2"/>
  <c r="AP12" i="2"/>
  <c r="AO12" i="2"/>
  <c r="AN12" i="2"/>
  <c r="AM12" i="2"/>
  <c r="AL12" i="2"/>
  <c r="AK12" i="2"/>
  <c r="AK5" i="2" s="1"/>
  <c r="AJ12" i="2"/>
  <c r="AI12" i="2"/>
  <c r="AH12" i="2"/>
  <c r="AG12" i="2"/>
  <c r="AF12" i="2"/>
  <c r="AE12" i="2"/>
  <c r="AD12" i="2"/>
  <c r="AC12" i="2"/>
  <c r="AC5" i="2" s="1"/>
  <c r="AB12" i="2"/>
  <c r="AA12" i="2"/>
  <c r="Z12" i="2"/>
  <c r="Y12" i="2"/>
  <c r="X12" i="2"/>
  <c r="V12" i="2"/>
  <c r="U12" i="2"/>
  <c r="U5" i="2" s="1"/>
  <c r="T12" i="2"/>
  <c r="R12" i="2"/>
  <c r="Q12" i="2"/>
  <c r="P12" i="2"/>
  <c r="N12" i="2"/>
  <c r="M12" i="2"/>
  <c r="M5" i="2" s="1"/>
  <c r="L12" i="2"/>
  <c r="J12" i="2"/>
  <c r="I12" i="2"/>
  <c r="H12" i="2"/>
  <c r="F12" i="2"/>
  <c r="E12" i="2"/>
  <c r="E5" i="2" s="1"/>
  <c r="D12" i="2"/>
  <c r="B12" i="2"/>
  <c r="AY6" i="2"/>
  <c r="AY5" i="2" s="1"/>
  <c r="AX6" i="2"/>
  <c r="AX5" i="2" s="1"/>
  <c r="AW6" i="2"/>
  <c r="AV6" i="2"/>
  <c r="AU6" i="2"/>
  <c r="AU5" i="2" s="1"/>
  <c r="AT6" i="2"/>
  <c r="AS6" i="2"/>
  <c r="AR6" i="2"/>
  <c r="AR5" i="2" s="1"/>
  <c r="AQ6" i="2"/>
  <c r="AQ5" i="2" s="1"/>
  <c r="AP6" i="2"/>
  <c r="AP5" i="2" s="1"/>
  <c r="AO6" i="2"/>
  <c r="AN6" i="2"/>
  <c r="AN5" i="2" s="1"/>
  <c r="AN70" i="2" s="1"/>
  <c r="AM6" i="2"/>
  <c r="AM5" i="2" s="1"/>
  <c r="AL6" i="2"/>
  <c r="AK6" i="2"/>
  <c r="AJ6" i="2"/>
  <c r="AJ5" i="2" s="1"/>
  <c r="AI6" i="2"/>
  <c r="AI5" i="2" s="1"/>
  <c r="AH6" i="2"/>
  <c r="AH5" i="2" s="1"/>
  <c r="AG6" i="2"/>
  <c r="AF6" i="2"/>
  <c r="AF5" i="2" s="1"/>
  <c r="AF70" i="2" s="1"/>
  <c r="AE6" i="2"/>
  <c r="AE5" i="2" s="1"/>
  <c r="AD6" i="2"/>
  <c r="AC6" i="2"/>
  <c r="AB6" i="2"/>
  <c r="AB5" i="2" s="1"/>
  <c r="AA6" i="2"/>
  <c r="AA5" i="2" s="1"/>
  <c r="Z6" i="2"/>
  <c r="Z5" i="2" s="1"/>
  <c r="Y6" i="2"/>
  <c r="X6" i="2"/>
  <c r="X5" i="2" s="1"/>
  <c r="X70" i="2" s="1"/>
  <c r="W6" i="2"/>
  <c r="W5" i="2" s="1"/>
  <c r="V6" i="2"/>
  <c r="U6" i="2"/>
  <c r="T6" i="2"/>
  <c r="T5" i="2" s="1"/>
  <c r="S6" i="2"/>
  <c r="R6" i="2"/>
  <c r="R5" i="2" s="1"/>
  <c r="Q6" i="2"/>
  <c r="P6" i="2"/>
  <c r="P5" i="2" s="1"/>
  <c r="P70" i="2" s="1"/>
  <c r="O6" i="2"/>
  <c r="O5" i="2" s="1"/>
  <c r="N6" i="2"/>
  <c r="M6" i="2"/>
  <c r="L6" i="2"/>
  <c r="L5" i="2" s="1"/>
  <c r="K6" i="2"/>
  <c r="J6" i="2"/>
  <c r="J5" i="2" s="1"/>
  <c r="I6" i="2"/>
  <c r="H6" i="2"/>
  <c r="H5" i="2" s="1"/>
  <c r="H70" i="2" s="1"/>
  <c r="G6" i="2"/>
  <c r="G5" i="2" s="1"/>
  <c r="G70" i="2" s="1"/>
  <c r="F6" i="2"/>
  <c r="E6" i="2"/>
  <c r="D6" i="2"/>
  <c r="D5" i="2" s="1"/>
  <c r="C6" i="2"/>
  <c r="B6" i="2"/>
  <c r="B5" i="2" s="1"/>
  <c r="AW5" i="2"/>
  <c r="AT5" i="2"/>
  <c r="AO5" i="2"/>
  <c r="AO70" i="2" s="1"/>
  <c r="AL5" i="2"/>
  <c r="AG5" i="2"/>
  <c r="AD5" i="2"/>
  <c r="Y5" i="2"/>
  <c r="V5" i="2"/>
  <c r="Q5" i="2"/>
  <c r="N5" i="2"/>
  <c r="N70" i="2" s="1"/>
  <c r="I5" i="2"/>
  <c r="I70" i="2" s="1"/>
  <c r="F5" i="2"/>
  <c r="F70" i="2" s="1"/>
  <c r="AW70" i="2" l="1"/>
  <c r="AS70" i="2"/>
  <c r="J70" i="2"/>
  <c r="Z70" i="2"/>
  <c r="AH70" i="2"/>
  <c r="AX70" i="2"/>
  <c r="AQ44" i="2"/>
  <c r="C5" i="2"/>
  <c r="C70" i="2" s="1"/>
  <c r="S5" i="2"/>
  <c r="S70" i="2" s="1"/>
  <c r="AI70" i="2"/>
  <c r="AY70" i="2"/>
  <c r="D70" i="2"/>
  <c r="L70" i="2"/>
  <c r="T70" i="2"/>
  <c r="AB70" i="2"/>
  <c r="AJ70" i="2"/>
  <c r="AR70" i="2"/>
  <c r="M70" i="2"/>
  <c r="AV70" i="2"/>
  <c r="Q70" i="2"/>
  <c r="AC70" i="2"/>
  <c r="AK70" i="2"/>
  <c r="B70" i="2"/>
  <c r="R70" i="2"/>
  <c r="AP70" i="2"/>
  <c r="U70" i="2"/>
  <c r="AA44" i="2"/>
  <c r="AI44" i="2"/>
  <c r="AY44" i="2"/>
  <c r="V52" i="2"/>
  <c r="V44" i="2" s="1"/>
  <c r="V70" i="2" s="1"/>
  <c r="AD52" i="2"/>
  <c r="AD44" i="2" s="1"/>
  <c r="AD70" i="2" s="1"/>
  <c r="AL52" i="2"/>
  <c r="Y70" i="2"/>
  <c r="K5" i="2"/>
  <c r="K70" i="2" s="1"/>
  <c r="AA70" i="2"/>
  <c r="AQ70" i="2"/>
  <c r="AG70" i="2"/>
  <c r="AL44" i="2"/>
  <c r="AL70" i="2" s="1"/>
  <c r="AT44" i="2"/>
  <c r="AT70" i="2" s="1"/>
  <c r="E70" i="2"/>
  <c r="O44" i="2"/>
  <c r="O70" i="2" s="1"/>
  <c r="W44" i="2"/>
  <c r="W70" i="2" s="1"/>
  <c r="AE44" i="2"/>
  <c r="AE70" i="2" s="1"/>
  <c r="AM44" i="2"/>
  <c r="AM70" i="2" s="1"/>
  <c r="AU44" i="2"/>
  <c r="AU70" i="2" s="1"/>
</calcChain>
</file>

<file path=xl/sharedStrings.xml><?xml version="1.0" encoding="utf-8"?>
<sst xmlns="http://schemas.openxmlformats.org/spreadsheetml/2006/main" count="116" uniqueCount="65">
  <si>
    <t>Gross External Debt Position by Sector</t>
  </si>
  <si>
    <t>Rs Million</t>
  </si>
  <si>
    <t>General Government</t>
  </si>
  <si>
    <t xml:space="preserve">   Short-term</t>
  </si>
  <si>
    <t xml:space="preserve">       Money market instruments</t>
  </si>
  <si>
    <t xml:space="preserve">       Loans</t>
  </si>
  <si>
    <t xml:space="preserve">      Trade credits</t>
  </si>
  <si>
    <t xml:space="preserve">       Other debt liabilities</t>
  </si>
  <si>
    <t xml:space="preserve">  Long-term</t>
  </si>
  <si>
    <t xml:space="preserve">       Bonds and notes</t>
  </si>
  <si>
    <t xml:space="preserve">       Trade credits</t>
  </si>
  <si>
    <t>Monetary Authorities</t>
  </si>
  <si>
    <t xml:space="preserve">  Short-term</t>
  </si>
  <si>
    <t xml:space="preserve">      Money market instruments</t>
  </si>
  <si>
    <t xml:space="preserve">      Loans</t>
  </si>
  <si>
    <t xml:space="preserve">      Currency and deposits</t>
  </si>
  <si>
    <t xml:space="preserve">      Other debt liabilities</t>
  </si>
  <si>
    <t xml:space="preserve">     Bonds and notes</t>
  </si>
  <si>
    <t xml:space="preserve">     Loans</t>
  </si>
  <si>
    <t xml:space="preserve">     Currency and deposits</t>
  </si>
  <si>
    <t>Other Deposit Taking institutions</t>
  </si>
  <si>
    <t xml:space="preserve">    Money market instruments</t>
  </si>
  <si>
    <t xml:space="preserve">    Loans</t>
  </si>
  <si>
    <t xml:space="preserve">    Currency and deposits</t>
  </si>
  <si>
    <t xml:space="preserve">    Bonds and notes</t>
  </si>
  <si>
    <t xml:space="preserve">     Other debt liabilities</t>
  </si>
  <si>
    <t xml:space="preserve">     Money market instruments</t>
  </si>
  <si>
    <t xml:space="preserve">    Trade credits</t>
  </si>
  <si>
    <t xml:space="preserve">     Trade credits</t>
  </si>
  <si>
    <t xml:space="preserve">      Direct Investment: Intercompany Lending</t>
  </si>
  <si>
    <t xml:space="preserve">      Debt liabilities to affiliated enterprises</t>
  </si>
  <si>
    <t xml:space="preserve">      Debt liabilities to direct investors</t>
  </si>
  <si>
    <t xml:space="preserve">          o/w Global Business</t>
  </si>
  <si>
    <t xml:space="preserve">          o/w Other </t>
  </si>
  <si>
    <t xml:space="preserve">     Other debt liabilities </t>
  </si>
  <si>
    <t xml:space="preserve">    Other debt liabilities </t>
  </si>
  <si>
    <t xml:space="preserve">1st Quarter </t>
  </si>
  <si>
    <t xml:space="preserve">2nd Quarter </t>
  </si>
  <si>
    <t xml:space="preserve">3rd Quarter </t>
  </si>
  <si>
    <r>
      <t>4th Quarter</t>
    </r>
    <r>
      <rPr>
        <b/>
        <vertAlign val="superscript"/>
        <sz val="10"/>
        <rFont val="Times New Roman"/>
        <family val="1"/>
      </rPr>
      <t xml:space="preserve"> </t>
    </r>
  </si>
  <si>
    <r>
      <t>2nd Quarter</t>
    </r>
    <r>
      <rPr>
        <b/>
        <vertAlign val="superscript"/>
        <sz val="10"/>
        <rFont val="Times New Roman"/>
        <family val="1"/>
      </rPr>
      <t xml:space="preserve"> </t>
    </r>
  </si>
  <si>
    <r>
      <t xml:space="preserve">       Loans </t>
    </r>
    <r>
      <rPr>
        <i/>
        <sz val="10"/>
        <rFont val="Times New Roman"/>
        <family val="1"/>
      </rPr>
      <t>(Including EBU)</t>
    </r>
  </si>
  <si>
    <t>Short-term</t>
  </si>
  <si>
    <t>3rd Quarter</t>
  </si>
  <si>
    <t>4th Quarter</t>
  </si>
  <si>
    <t>1st Quarter</t>
  </si>
  <si>
    <t>2nd Quarter</t>
  </si>
  <si>
    <t>Other Sectors</t>
  </si>
  <si>
    <t xml:space="preserve">                 Other</t>
  </si>
  <si>
    <t xml:space="preserve">                 Public Enterprise</t>
  </si>
  <si>
    <t xml:space="preserve">                Other </t>
  </si>
  <si>
    <t xml:space="preserve">4th Quarter </t>
  </si>
  <si>
    <r>
      <t>1st Quarter</t>
    </r>
    <r>
      <rPr>
        <b/>
        <vertAlign val="superscript"/>
        <sz val="10"/>
        <rFont val="Times New Roman"/>
        <family val="1"/>
      </rPr>
      <t>1</t>
    </r>
  </si>
  <si>
    <r>
      <t>2nd Quarter</t>
    </r>
    <r>
      <rPr>
        <b/>
        <vertAlign val="superscript"/>
        <sz val="10"/>
        <rFont val="Times New Roman"/>
        <family val="1"/>
      </rPr>
      <t>1</t>
    </r>
  </si>
  <si>
    <r>
      <t>3rd Quarter</t>
    </r>
    <r>
      <rPr>
        <b/>
        <vertAlign val="superscript"/>
        <sz val="10"/>
        <rFont val="Times New Roman"/>
        <family val="1"/>
      </rPr>
      <t>1</t>
    </r>
  </si>
  <si>
    <r>
      <t>4th Quarter</t>
    </r>
    <r>
      <rPr>
        <b/>
        <vertAlign val="superscript"/>
        <sz val="10"/>
        <rFont val="Times New Roman"/>
        <family val="1"/>
      </rPr>
      <t>1</t>
    </r>
  </si>
  <si>
    <r>
      <t>1st Quarter</t>
    </r>
    <r>
      <rPr>
        <b/>
        <vertAlign val="superscript"/>
        <sz val="10"/>
        <rFont val="Times New Roman"/>
        <family val="1"/>
      </rPr>
      <t>2</t>
    </r>
  </si>
  <si>
    <r>
      <t xml:space="preserve">       Other debt liabilities</t>
    </r>
    <r>
      <rPr>
        <vertAlign val="superscript"/>
        <sz val="10"/>
        <rFont val="Times New Roman"/>
        <family val="1"/>
      </rPr>
      <t>3</t>
    </r>
  </si>
  <si>
    <r>
      <t>Gross External Debt</t>
    </r>
    <r>
      <rPr>
        <b/>
        <vertAlign val="superscript"/>
        <sz val="10"/>
        <rFont val="Times New Roman"/>
        <family val="1"/>
      </rPr>
      <t>4</t>
    </r>
  </si>
  <si>
    <r>
      <rPr>
        <i/>
        <vertAlign val="superscript"/>
        <sz val="10"/>
        <rFont val="Times New Roman"/>
        <family val="1"/>
      </rPr>
      <t>1</t>
    </r>
    <r>
      <rPr>
        <i/>
        <sz val="10"/>
        <rFont val="Times New Roman"/>
        <family val="1"/>
      </rPr>
      <t xml:space="preserve"> Revised based on updated debt data of Other Sectors</t>
    </r>
  </si>
  <si>
    <r>
      <rPr>
        <i/>
        <vertAlign val="superscript"/>
        <sz val="10"/>
        <rFont val="Times New Roman"/>
        <family val="1"/>
      </rPr>
      <t>2</t>
    </r>
    <r>
      <rPr>
        <i/>
        <sz val="10"/>
        <rFont val="Times New Roman"/>
        <family val="1"/>
      </rPr>
      <t xml:space="preserve"> Provisional</t>
    </r>
  </si>
  <si>
    <r>
      <rPr>
        <i/>
        <vertAlign val="superscript"/>
        <sz val="10"/>
        <rFont val="Times New Roman"/>
        <family val="1"/>
      </rPr>
      <t xml:space="preserve">3 </t>
    </r>
    <r>
      <rPr>
        <i/>
        <sz val="10"/>
        <rFont val="Times New Roman"/>
        <family val="1"/>
      </rPr>
      <t>Long term liability in respect of IMF SDR allocation is included as part of General Government debt.</t>
    </r>
  </si>
  <si>
    <r>
      <rPr>
        <i/>
        <vertAlign val="superscript"/>
        <sz val="10"/>
        <rFont val="Times New Roman"/>
        <family val="1"/>
      </rPr>
      <t xml:space="preserve">4 </t>
    </r>
    <r>
      <rPr>
        <i/>
        <sz val="10"/>
        <rFont val="Times New Roman"/>
        <family val="1"/>
      </rPr>
      <t xml:space="preserve">In line with the recommendation of IMF, the coverage of Gross External Debt has been extended. The cross border transactions of global business entitities are being included as part of Gross External Debt since December 2009.  To maintain consistency, the external positions of deposit taking institutions and monetary authorities are also included in the Gross External Debt. </t>
    </r>
  </si>
  <si>
    <r>
      <rPr>
        <i/>
        <vertAlign val="superscript"/>
        <sz val="10"/>
        <rFont val="Times New Roman"/>
        <family val="1"/>
      </rPr>
      <t>5</t>
    </r>
    <r>
      <rPr>
        <i/>
        <sz val="10"/>
        <rFont val="Times New Roman"/>
        <family val="1"/>
      </rPr>
      <t xml:space="preserve"> General Government Debt and Public Enterprise Debt do not include other Accounts Payable.</t>
    </r>
  </si>
  <si>
    <r>
      <rPr>
        <i/>
        <vertAlign val="superscript"/>
        <sz val="10"/>
        <rFont val="Times New Roman"/>
        <family val="1"/>
      </rPr>
      <t xml:space="preserve">6 </t>
    </r>
    <r>
      <rPr>
        <i/>
        <sz val="10"/>
        <rFont val="Times New Roman"/>
        <family val="1"/>
      </rPr>
      <t>Figures may not add up to totals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</si>
</sst>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 ;\(#,##0\)"/>
    <numFmt numFmtId="167" formatCode="dd\-mmm\-yy_)"/>
    <numFmt numFmtId="168" formatCode="0.000000_)"/>
    <numFmt numFmtId="169" formatCode="_(* #,##0.0_);_(* \(#,##0.0\);_(* &quot;-&quot;??_);_(@_)"/>
    <numFmt numFmtId="170" formatCode="0.0"/>
    <numFmt numFmtId="171" formatCode="#,##0.000000000000000000000"/>
    <numFmt numFmtId="172" formatCode="_(* #,##0_);_(* \(#,##0\);_(* &quot;-&quot;??_);_(@_)"/>
  </numFmts>
  <fonts count="19">
    <font>
      <sz val="10"/>
      <name val="Arial"/>
    </font>
    <font>
      <sz val="10"/>
      <name val="Arial"/>
      <family val="2"/>
    </font>
    <font>
      <sz val="10"/>
      <name val="Arial"/>
      <family val="2"/>
    </font>
    <font>
      <b/>
      <sz val="10"/>
      <color indexed="17"/>
      <name val="Arial"/>
      <family val="2"/>
    </font>
    <font>
      <sz val="10"/>
      <color indexed="12"/>
      <name val="CG Times (W1)"/>
    </font>
    <font>
      <b/>
      <sz val="10"/>
      <color indexed="12"/>
      <name val="Arial"/>
      <family val="2"/>
    </font>
    <font>
      <b/>
      <sz val="10"/>
      <color indexed="14"/>
      <name val="Arial"/>
      <family val="2"/>
    </font>
    <font>
      <sz val="11"/>
      <color indexed="8"/>
      <name val="Calibri"/>
      <family val="2"/>
    </font>
    <font>
      <sz val="10"/>
      <name val="Times New Roman"/>
      <family val="1"/>
    </font>
    <font>
      <b/>
      <sz val="10"/>
      <color indexed="8"/>
      <name val="Arial"/>
      <family val="2"/>
    </font>
    <font>
      <b/>
      <sz val="10"/>
      <name val="Times New Roman"/>
      <family val="1"/>
    </font>
    <font>
      <b/>
      <vertAlign val="superscript"/>
      <sz val="10"/>
      <name val="Times New Roman"/>
      <family val="1"/>
    </font>
    <font>
      <i/>
      <sz val="10"/>
      <name val="Times New Roman"/>
      <family val="1"/>
    </font>
    <font>
      <b/>
      <sz val="11"/>
      <name val="Times New Roman"/>
      <family val="1"/>
    </font>
    <font>
      <sz val="11"/>
      <name val="Times New Roman"/>
      <family val="1"/>
    </font>
    <font>
      <i/>
      <vertAlign val="superscript"/>
      <sz val="10"/>
      <name val="Times New Roman"/>
      <family val="1"/>
    </font>
    <font>
      <vertAlign val="superscript"/>
      <sz val="10"/>
      <name val="Times New Roman"/>
      <family val="1"/>
    </font>
    <font>
      <b/>
      <sz val="12"/>
      <name val="Times New Roman"/>
      <family val="1"/>
    </font>
    <font>
      <b/>
      <sz val="10"/>
      <color rgb="FFFF0000"/>
      <name val="Times New Roman"/>
      <family val="1"/>
    </font>
  </fonts>
  <fills count="2">
    <fill>
      <patternFill patternType="none"/>
    </fill>
    <fill>
      <patternFill patternType="gray125"/>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6" fontId="3" fillId="0" borderId="0"/>
    <xf numFmtId="167" fontId="4" fillId="0" borderId="1" applyNumberFormat="0" applyFill="0" applyBorder="0" applyAlignment="0">
      <protection locked="0"/>
    </xf>
    <xf numFmtId="166" fontId="5" fillId="0" borderId="0">
      <protection locked="0"/>
    </xf>
    <xf numFmtId="166" fontId="5" fillId="0" borderId="0">
      <alignment horizontal="center"/>
      <protection locked="0"/>
    </xf>
    <xf numFmtId="168" fontId="6" fillId="0" borderId="0"/>
    <xf numFmtId="0" fontId="1" fillId="0" borderId="0"/>
    <xf numFmtId="0" fontId="2" fillId="0" borderId="0"/>
    <xf numFmtId="0" fontId="7" fillId="0" borderId="0"/>
    <xf numFmtId="0" fontId="1" fillId="0" borderId="0"/>
    <xf numFmtId="0" fontId="7" fillId="0" borderId="0"/>
    <xf numFmtId="0" fontId="8" fillId="0" borderId="0"/>
    <xf numFmtId="166" fontId="9" fillId="0" borderId="2"/>
    <xf numFmtId="166" fontId="9" fillId="0" borderId="0"/>
  </cellStyleXfs>
  <cellXfs count="51">
    <xf numFmtId="0" fontId="0" fillId="0" borderId="0" xfId="0"/>
    <xf numFmtId="169" fontId="8" fillId="0" borderId="2" xfId="1" applyNumberFormat="1" applyFont="1" applyFill="1" applyBorder="1" applyAlignment="1">
      <alignment vertical="center"/>
    </xf>
    <xf numFmtId="165" fontId="8" fillId="0" borderId="2" xfId="1" applyNumberFormat="1" applyFont="1" applyFill="1" applyBorder="1" applyAlignment="1">
      <alignment vertical="center"/>
    </xf>
    <xf numFmtId="165" fontId="8" fillId="0" borderId="2" xfId="1" applyNumberFormat="1" applyFont="1" applyFill="1" applyBorder="1" applyAlignment="1">
      <alignment horizontal="right" vertical="center" wrapText="1"/>
    </xf>
    <xf numFmtId="0" fontId="12" fillId="0" borderId="0" xfId="15" applyFont="1" applyAlignment="1">
      <alignment horizontal="left"/>
    </xf>
    <xf numFmtId="172" fontId="8" fillId="0" borderId="0" xfId="1" applyNumberFormat="1" applyFont="1" applyFill="1"/>
    <xf numFmtId="0" fontId="17" fillId="0" borderId="0" xfId="14" applyFont="1" applyAlignment="1">
      <alignment horizontal="center" vertical="center" wrapText="1"/>
    </xf>
    <xf numFmtId="0" fontId="8" fillId="0" borderId="0" xfId="0" applyFont="1"/>
    <xf numFmtId="0" fontId="13" fillId="0" borderId="5" xfId="14" applyFont="1" applyBorder="1" applyAlignment="1">
      <alignment horizontal="left" vertical="center" wrapText="1"/>
    </xf>
    <xf numFmtId="0" fontId="10" fillId="0" borderId="0" xfId="14" applyFont="1" applyAlignment="1">
      <alignment horizontal="center" vertical="center" wrapText="1"/>
    </xf>
    <xf numFmtId="0" fontId="8" fillId="0" borderId="2" xfId="0" applyFont="1" applyBorder="1"/>
    <xf numFmtId="0" fontId="10" fillId="0" borderId="4" xfId="0" applyFont="1" applyBorder="1" applyAlignment="1">
      <alignment horizontal="center" vertical="center"/>
    </xf>
    <xf numFmtId="0" fontId="10" fillId="0" borderId="2" xfId="14" applyFont="1" applyBorder="1" applyAlignment="1">
      <alignment horizontal="center" vertical="center"/>
    </xf>
    <xf numFmtId="0" fontId="10" fillId="0" borderId="2" xfId="14"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8" fillId="0" borderId="4" xfId="0" applyFont="1" applyBorder="1"/>
    <xf numFmtId="0" fontId="10" fillId="0" borderId="4" xfId="0" applyFont="1" applyBorder="1" applyAlignment="1">
      <alignment horizontal="center"/>
    </xf>
    <xf numFmtId="0" fontId="10" fillId="0" borderId="2" xfId="0" applyFont="1" applyBorder="1" applyAlignment="1">
      <alignment horizontal="center"/>
    </xf>
    <xf numFmtId="0" fontId="10" fillId="0" borderId="2" xfId="0" applyFont="1" applyBorder="1" applyAlignment="1">
      <alignment horizontal="center"/>
    </xf>
    <xf numFmtId="0" fontId="10" fillId="0" borderId="2" xfId="14" applyFont="1" applyBorder="1" applyAlignment="1">
      <alignment horizontal="center" vertical="center" wrapText="1"/>
    </xf>
    <xf numFmtId="0" fontId="10" fillId="0" borderId="3" xfId="14" applyFont="1" applyBorder="1" applyAlignment="1">
      <alignment horizontal="center" vertical="center" wrapText="1"/>
    </xf>
    <xf numFmtId="165" fontId="10" fillId="0" borderId="2" xfId="0" applyNumberFormat="1" applyFont="1" applyBorder="1" applyAlignment="1">
      <alignment vertical="center" wrapText="1"/>
    </xf>
    <xf numFmtId="165" fontId="10" fillId="0" borderId="3" xfId="0" applyNumberFormat="1" applyFont="1" applyBorder="1" applyAlignment="1">
      <alignment vertical="center" wrapText="1"/>
    </xf>
    <xf numFmtId="0" fontId="8" fillId="0" borderId="0" xfId="0" applyFont="1" applyAlignment="1">
      <alignment vertical="center"/>
    </xf>
    <xf numFmtId="165" fontId="12" fillId="0" borderId="2" xfId="0" applyNumberFormat="1" applyFont="1" applyBorder="1" applyAlignment="1">
      <alignment vertical="center" wrapText="1"/>
    </xf>
    <xf numFmtId="165" fontId="8" fillId="0" borderId="2" xfId="0" applyNumberFormat="1" applyFont="1" applyBorder="1" applyAlignment="1">
      <alignment horizontal="right" vertical="center" wrapText="1"/>
    </xf>
    <xf numFmtId="165" fontId="8" fillId="0" borderId="2" xfId="0" applyNumberFormat="1" applyFont="1" applyBorder="1" applyAlignment="1">
      <alignment vertical="center" wrapText="1"/>
    </xf>
    <xf numFmtId="165" fontId="8" fillId="0" borderId="2" xfId="0" applyNumberFormat="1" applyFont="1" applyBorder="1" applyAlignment="1">
      <alignment vertical="center"/>
    </xf>
    <xf numFmtId="0" fontId="8" fillId="0" borderId="2" xfId="0" applyFont="1" applyBorder="1" applyAlignment="1">
      <alignment vertical="center"/>
    </xf>
    <xf numFmtId="170" fontId="8" fillId="0" borderId="2" xfId="0" applyNumberFormat="1" applyFont="1" applyBorder="1" applyAlignment="1">
      <alignment vertical="center"/>
    </xf>
    <xf numFmtId="165" fontId="8" fillId="0" borderId="2" xfId="0" applyNumberFormat="1" applyFont="1" applyBorder="1" applyAlignment="1">
      <alignment horizontal="right" vertical="center"/>
    </xf>
    <xf numFmtId="165" fontId="10" fillId="0" borderId="2" xfId="0" applyNumberFormat="1" applyFont="1" applyBorder="1" applyAlignment="1">
      <alignment horizontal="right" vertical="center" wrapText="1"/>
    </xf>
    <xf numFmtId="3" fontId="8" fillId="0" borderId="2" xfId="0" applyNumberFormat="1" applyFont="1" applyBorder="1" applyAlignment="1">
      <alignment vertical="center"/>
    </xf>
    <xf numFmtId="3" fontId="12" fillId="0" borderId="2" xfId="0" applyNumberFormat="1" applyFont="1" applyBorder="1" applyAlignment="1">
      <alignment vertical="center"/>
    </xf>
    <xf numFmtId="165" fontId="12" fillId="0" borderId="2" xfId="0" applyNumberFormat="1" applyFont="1" applyBorder="1" applyAlignment="1">
      <alignment vertical="center"/>
    </xf>
    <xf numFmtId="0" fontId="14" fillId="0" borderId="0" xfId="0" applyFont="1" applyAlignment="1">
      <alignment horizontal="left" indent="4"/>
    </xf>
    <xf numFmtId="165" fontId="14" fillId="0" borderId="0" xfId="0" applyNumberFormat="1" applyFont="1"/>
    <xf numFmtId="0" fontId="14" fillId="0" borderId="0" xfId="0" applyFont="1"/>
    <xf numFmtId="0" fontId="12" fillId="0" borderId="0" xfId="14" applyFont="1"/>
    <xf numFmtId="0" fontId="12" fillId="0" borderId="0" xfId="0" applyFont="1" applyAlignment="1">
      <alignment vertical="top" wrapText="1"/>
    </xf>
    <xf numFmtId="0" fontId="12" fillId="0" borderId="0" xfId="0" applyFont="1"/>
    <xf numFmtId="0" fontId="18" fillId="0" borderId="0" xfId="0" applyFont="1" applyAlignment="1">
      <alignment horizontal="center"/>
    </xf>
    <xf numFmtId="3" fontId="8" fillId="0" borderId="0" xfId="0" applyNumberFormat="1" applyFont="1"/>
    <xf numFmtId="171" fontId="8" fillId="0" borderId="0" xfId="0" applyNumberFormat="1" applyFont="1"/>
    <xf numFmtId="165" fontId="8" fillId="0" borderId="0" xfId="0" applyNumberFormat="1" applyFont="1"/>
    <xf numFmtId="172" fontId="8" fillId="0" borderId="0" xfId="0" applyNumberFormat="1" applyFont="1"/>
  </cellXfs>
  <cellStyles count="19">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rosspull" xfId="6" xr:uid="{00000000-0005-0000-0000-000005000000}"/>
    <cellStyle name="data_entry" xfId="7" xr:uid="{00000000-0005-0000-0000-000006000000}"/>
    <cellStyle name="dataentry" xfId="8" xr:uid="{00000000-0005-0000-0000-000007000000}"/>
    <cellStyle name="dataentry4" xfId="9" xr:uid="{00000000-0005-0000-0000-000008000000}"/>
    <cellStyle name="excrate" xfId="10" xr:uid="{00000000-0005-0000-0000-000009000000}"/>
    <cellStyle name="Normal" xfId="0" builtinId="0"/>
    <cellStyle name="Normal 2" xfId="11" xr:uid="{00000000-0005-0000-0000-00000B000000}"/>
    <cellStyle name="Normal 2 2" xfId="12" xr:uid="{00000000-0005-0000-0000-00000C000000}"/>
    <cellStyle name="Normal 2_CGDD-Jan-09" xfId="13" xr:uid="{00000000-0005-0000-0000-00000D000000}"/>
    <cellStyle name="Normal_Quarterly BOP 2001" xfId="14" xr:uid="{00000000-0005-0000-0000-00000E000000}"/>
    <cellStyle name="Normal_stock310309" xfId="15" xr:uid="{00000000-0005-0000-0000-00000F000000}"/>
    <cellStyle name="Standard_AFS Debt sec" xfId="16" xr:uid="{00000000-0005-0000-0000-000010000000}"/>
    <cellStyle name="Subtotal" xfId="17" xr:uid="{00000000-0005-0000-0000-000011000000}"/>
    <cellStyle name="Subtotal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5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inance\monthly\2005\07\bom\Loan&amp;Deposits%25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9"/>
  <sheetViews>
    <sheetView tabSelected="1" zoomScale="120" zoomScaleNormal="120" workbookViewId="0">
      <pane xSplit="1" ySplit="4" topLeftCell="AQ5" activePane="bottomRight" state="frozen"/>
      <selection pane="topRight" activeCell="B1" sqref="B1"/>
      <selection pane="bottomLeft" activeCell="A5" sqref="A5"/>
      <selection pane="bottomRight" sqref="A1:AY1"/>
    </sheetView>
  </sheetViews>
  <sheetFormatPr defaultColWidth="12.42578125" defaultRowHeight="12.75"/>
  <cols>
    <col min="1" max="1" width="33.42578125" style="7" customWidth="1"/>
    <col min="2" max="3" width="10.85546875" style="7" hidden="1" customWidth="1"/>
    <col min="4" max="4" width="11.5703125" style="7" hidden="1" customWidth="1"/>
    <col min="5" max="5" width="11" style="7" hidden="1" customWidth="1"/>
    <col min="6" max="6" width="10.85546875" style="7" hidden="1" customWidth="1"/>
    <col min="7" max="7" width="10.5703125" style="7" hidden="1" customWidth="1"/>
    <col min="8" max="8" width="12.140625" style="7" hidden="1" customWidth="1"/>
    <col min="9" max="10" width="10.85546875" style="7" hidden="1" customWidth="1"/>
    <col min="11" max="11" width="11.42578125" style="46" hidden="1" customWidth="1"/>
    <col min="12" max="12" width="11.42578125" style="7" hidden="1" customWidth="1"/>
    <col min="13" max="13" width="11.5703125" style="7" hidden="1" customWidth="1"/>
    <col min="14" max="14" width="11" style="7" hidden="1" customWidth="1"/>
    <col min="15" max="15" width="11.5703125" style="7" hidden="1" customWidth="1"/>
    <col min="16" max="16" width="11.7109375" style="7" hidden="1" customWidth="1"/>
    <col min="17" max="19" width="10.85546875" style="7" hidden="1" customWidth="1"/>
    <col min="20" max="20" width="11.7109375" style="7" hidden="1" customWidth="1"/>
    <col min="21" max="21" width="11.28515625" style="7" hidden="1" customWidth="1"/>
    <col min="22" max="22" width="11.42578125" style="7" hidden="1" customWidth="1"/>
    <col min="23" max="23" width="11.28515625" style="7" hidden="1" customWidth="1"/>
    <col min="24" max="24" width="11.42578125" style="7" hidden="1" customWidth="1"/>
    <col min="25" max="25" width="11.7109375" style="7" hidden="1" customWidth="1"/>
    <col min="26" max="26" width="11.140625" style="7" hidden="1" customWidth="1"/>
    <col min="27" max="27" width="11" style="7" hidden="1" customWidth="1"/>
    <col min="28" max="28" width="11.5703125" style="7" hidden="1" customWidth="1"/>
    <col min="29" max="29" width="12" style="7" hidden="1" customWidth="1"/>
    <col min="30" max="31" width="11.28515625" style="7" hidden="1" customWidth="1"/>
    <col min="32" max="32" width="12.140625" style="7" hidden="1" customWidth="1"/>
    <col min="33" max="33" width="11.85546875" style="7" hidden="1" customWidth="1"/>
    <col min="34" max="42" width="12.42578125" style="7" hidden="1" customWidth="1"/>
    <col min="43" max="43" width="0" style="7" hidden="1" customWidth="1"/>
    <col min="44" max="256" width="12.42578125" style="7"/>
    <col min="257" max="257" width="33.42578125" style="7" customWidth="1"/>
    <col min="258" max="299" width="0" style="7" hidden="1" customWidth="1"/>
    <col min="300" max="512" width="12.42578125" style="7"/>
    <col min="513" max="513" width="33.42578125" style="7" customWidth="1"/>
    <col min="514" max="555" width="0" style="7" hidden="1" customWidth="1"/>
    <col min="556" max="768" width="12.42578125" style="7"/>
    <col min="769" max="769" width="33.42578125" style="7" customWidth="1"/>
    <col min="770" max="811" width="0" style="7" hidden="1" customWidth="1"/>
    <col min="812" max="1024" width="12.42578125" style="7"/>
    <col min="1025" max="1025" width="33.42578125" style="7" customWidth="1"/>
    <col min="1026" max="1067" width="0" style="7" hidden="1" customWidth="1"/>
    <col min="1068" max="1280" width="12.42578125" style="7"/>
    <col min="1281" max="1281" width="33.42578125" style="7" customWidth="1"/>
    <col min="1282" max="1323" width="0" style="7" hidden="1" customWidth="1"/>
    <col min="1324" max="1536" width="12.42578125" style="7"/>
    <col min="1537" max="1537" width="33.42578125" style="7" customWidth="1"/>
    <col min="1538" max="1579" width="0" style="7" hidden="1" customWidth="1"/>
    <col min="1580" max="1792" width="12.42578125" style="7"/>
    <col min="1793" max="1793" width="33.42578125" style="7" customWidth="1"/>
    <col min="1794" max="1835" width="0" style="7" hidden="1" customWidth="1"/>
    <col min="1836" max="2048" width="12.42578125" style="7"/>
    <col min="2049" max="2049" width="33.42578125" style="7" customWidth="1"/>
    <col min="2050" max="2091" width="0" style="7" hidden="1" customWidth="1"/>
    <col min="2092" max="2304" width="12.42578125" style="7"/>
    <col min="2305" max="2305" width="33.42578125" style="7" customWidth="1"/>
    <col min="2306" max="2347" width="0" style="7" hidden="1" customWidth="1"/>
    <col min="2348" max="2560" width="12.42578125" style="7"/>
    <col min="2561" max="2561" width="33.42578125" style="7" customWidth="1"/>
    <col min="2562" max="2603" width="0" style="7" hidden="1" customWidth="1"/>
    <col min="2604" max="2816" width="12.42578125" style="7"/>
    <col min="2817" max="2817" width="33.42578125" style="7" customWidth="1"/>
    <col min="2818" max="2859" width="0" style="7" hidden="1" customWidth="1"/>
    <col min="2860" max="3072" width="12.42578125" style="7"/>
    <col min="3073" max="3073" width="33.42578125" style="7" customWidth="1"/>
    <col min="3074" max="3115" width="0" style="7" hidden="1" customWidth="1"/>
    <col min="3116" max="3328" width="12.42578125" style="7"/>
    <col min="3329" max="3329" width="33.42578125" style="7" customWidth="1"/>
    <col min="3330" max="3371" width="0" style="7" hidden="1" customWidth="1"/>
    <col min="3372" max="3584" width="12.42578125" style="7"/>
    <col min="3585" max="3585" width="33.42578125" style="7" customWidth="1"/>
    <col min="3586" max="3627" width="0" style="7" hidden="1" customWidth="1"/>
    <col min="3628" max="3840" width="12.42578125" style="7"/>
    <col min="3841" max="3841" width="33.42578125" style="7" customWidth="1"/>
    <col min="3842" max="3883" width="0" style="7" hidden="1" customWidth="1"/>
    <col min="3884" max="4096" width="12.42578125" style="7"/>
    <col min="4097" max="4097" width="33.42578125" style="7" customWidth="1"/>
    <col min="4098" max="4139" width="0" style="7" hidden="1" customWidth="1"/>
    <col min="4140" max="4352" width="12.42578125" style="7"/>
    <col min="4353" max="4353" width="33.42578125" style="7" customWidth="1"/>
    <col min="4354" max="4395" width="0" style="7" hidden="1" customWidth="1"/>
    <col min="4396" max="4608" width="12.42578125" style="7"/>
    <col min="4609" max="4609" width="33.42578125" style="7" customWidth="1"/>
    <col min="4610" max="4651" width="0" style="7" hidden="1" customWidth="1"/>
    <col min="4652" max="4864" width="12.42578125" style="7"/>
    <col min="4865" max="4865" width="33.42578125" style="7" customWidth="1"/>
    <col min="4866" max="4907" width="0" style="7" hidden="1" customWidth="1"/>
    <col min="4908" max="5120" width="12.42578125" style="7"/>
    <col min="5121" max="5121" width="33.42578125" style="7" customWidth="1"/>
    <col min="5122" max="5163" width="0" style="7" hidden="1" customWidth="1"/>
    <col min="5164" max="5376" width="12.42578125" style="7"/>
    <col min="5377" max="5377" width="33.42578125" style="7" customWidth="1"/>
    <col min="5378" max="5419" width="0" style="7" hidden="1" customWidth="1"/>
    <col min="5420" max="5632" width="12.42578125" style="7"/>
    <col min="5633" max="5633" width="33.42578125" style="7" customWidth="1"/>
    <col min="5634" max="5675" width="0" style="7" hidden="1" customWidth="1"/>
    <col min="5676" max="5888" width="12.42578125" style="7"/>
    <col min="5889" max="5889" width="33.42578125" style="7" customWidth="1"/>
    <col min="5890" max="5931" width="0" style="7" hidden="1" customWidth="1"/>
    <col min="5932" max="6144" width="12.42578125" style="7"/>
    <col min="6145" max="6145" width="33.42578125" style="7" customWidth="1"/>
    <col min="6146" max="6187" width="0" style="7" hidden="1" customWidth="1"/>
    <col min="6188" max="6400" width="12.42578125" style="7"/>
    <col min="6401" max="6401" width="33.42578125" style="7" customWidth="1"/>
    <col min="6402" max="6443" width="0" style="7" hidden="1" customWidth="1"/>
    <col min="6444" max="6656" width="12.42578125" style="7"/>
    <col min="6657" max="6657" width="33.42578125" style="7" customWidth="1"/>
    <col min="6658" max="6699" width="0" style="7" hidden="1" customWidth="1"/>
    <col min="6700" max="6912" width="12.42578125" style="7"/>
    <col min="6913" max="6913" width="33.42578125" style="7" customWidth="1"/>
    <col min="6914" max="6955" width="0" style="7" hidden="1" customWidth="1"/>
    <col min="6956" max="7168" width="12.42578125" style="7"/>
    <col min="7169" max="7169" width="33.42578125" style="7" customWidth="1"/>
    <col min="7170" max="7211" width="0" style="7" hidden="1" customWidth="1"/>
    <col min="7212" max="7424" width="12.42578125" style="7"/>
    <col min="7425" max="7425" width="33.42578125" style="7" customWidth="1"/>
    <col min="7426" max="7467" width="0" style="7" hidden="1" customWidth="1"/>
    <col min="7468" max="7680" width="12.42578125" style="7"/>
    <col min="7681" max="7681" width="33.42578125" style="7" customWidth="1"/>
    <col min="7682" max="7723" width="0" style="7" hidden="1" customWidth="1"/>
    <col min="7724" max="7936" width="12.42578125" style="7"/>
    <col min="7937" max="7937" width="33.42578125" style="7" customWidth="1"/>
    <col min="7938" max="7979" width="0" style="7" hidden="1" customWidth="1"/>
    <col min="7980" max="8192" width="12.42578125" style="7"/>
    <col min="8193" max="8193" width="33.42578125" style="7" customWidth="1"/>
    <col min="8194" max="8235" width="0" style="7" hidden="1" customWidth="1"/>
    <col min="8236" max="8448" width="12.42578125" style="7"/>
    <col min="8449" max="8449" width="33.42578125" style="7" customWidth="1"/>
    <col min="8450" max="8491" width="0" style="7" hidden="1" customWidth="1"/>
    <col min="8492" max="8704" width="12.42578125" style="7"/>
    <col min="8705" max="8705" width="33.42578125" style="7" customWidth="1"/>
    <col min="8706" max="8747" width="0" style="7" hidden="1" customWidth="1"/>
    <col min="8748" max="8960" width="12.42578125" style="7"/>
    <col min="8961" max="8961" width="33.42578125" style="7" customWidth="1"/>
    <col min="8962" max="9003" width="0" style="7" hidden="1" customWidth="1"/>
    <col min="9004" max="9216" width="12.42578125" style="7"/>
    <col min="9217" max="9217" width="33.42578125" style="7" customWidth="1"/>
    <col min="9218" max="9259" width="0" style="7" hidden="1" customWidth="1"/>
    <col min="9260" max="9472" width="12.42578125" style="7"/>
    <col min="9473" max="9473" width="33.42578125" style="7" customWidth="1"/>
    <col min="9474" max="9515" width="0" style="7" hidden="1" customWidth="1"/>
    <col min="9516" max="9728" width="12.42578125" style="7"/>
    <col min="9729" max="9729" width="33.42578125" style="7" customWidth="1"/>
    <col min="9730" max="9771" width="0" style="7" hidden="1" customWidth="1"/>
    <col min="9772" max="9984" width="12.42578125" style="7"/>
    <col min="9985" max="9985" width="33.42578125" style="7" customWidth="1"/>
    <col min="9986" max="10027" width="0" style="7" hidden="1" customWidth="1"/>
    <col min="10028" max="10240" width="12.42578125" style="7"/>
    <col min="10241" max="10241" width="33.42578125" style="7" customWidth="1"/>
    <col min="10242" max="10283" width="0" style="7" hidden="1" customWidth="1"/>
    <col min="10284" max="10496" width="12.42578125" style="7"/>
    <col min="10497" max="10497" width="33.42578125" style="7" customWidth="1"/>
    <col min="10498" max="10539" width="0" style="7" hidden="1" customWidth="1"/>
    <col min="10540" max="10752" width="12.42578125" style="7"/>
    <col min="10753" max="10753" width="33.42578125" style="7" customWidth="1"/>
    <col min="10754" max="10795" width="0" style="7" hidden="1" customWidth="1"/>
    <col min="10796" max="11008" width="12.42578125" style="7"/>
    <col min="11009" max="11009" width="33.42578125" style="7" customWidth="1"/>
    <col min="11010" max="11051" width="0" style="7" hidden="1" customWidth="1"/>
    <col min="11052" max="11264" width="12.42578125" style="7"/>
    <col min="11265" max="11265" width="33.42578125" style="7" customWidth="1"/>
    <col min="11266" max="11307" width="0" style="7" hidden="1" customWidth="1"/>
    <col min="11308" max="11520" width="12.42578125" style="7"/>
    <col min="11521" max="11521" width="33.42578125" style="7" customWidth="1"/>
    <col min="11522" max="11563" width="0" style="7" hidden="1" customWidth="1"/>
    <col min="11564" max="11776" width="12.42578125" style="7"/>
    <col min="11777" max="11777" width="33.42578125" style="7" customWidth="1"/>
    <col min="11778" max="11819" width="0" style="7" hidden="1" customWidth="1"/>
    <col min="11820" max="12032" width="12.42578125" style="7"/>
    <col min="12033" max="12033" width="33.42578125" style="7" customWidth="1"/>
    <col min="12034" max="12075" width="0" style="7" hidden="1" customWidth="1"/>
    <col min="12076" max="12288" width="12.42578125" style="7"/>
    <col min="12289" max="12289" width="33.42578125" style="7" customWidth="1"/>
    <col min="12290" max="12331" width="0" style="7" hidden="1" customWidth="1"/>
    <col min="12332" max="12544" width="12.42578125" style="7"/>
    <col min="12545" max="12545" width="33.42578125" style="7" customWidth="1"/>
    <col min="12546" max="12587" width="0" style="7" hidden="1" customWidth="1"/>
    <col min="12588" max="12800" width="12.42578125" style="7"/>
    <col min="12801" max="12801" width="33.42578125" style="7" customWidth="1"/>
    <col min="12802" max="12843" width="0" style="7" hidden="1" customWidth="1"/>
    <col min="12844" max="13056" width="12.42578125" style="7"/>
    <col min="13057" max="13057" width="33.42578125" style="7" customWidth="1"/>
    <col min="13058" max="13099" width="0" style="7" hidden="1" customWidth="1"/>
    <col min="13100" max="13312" width="12.42578125" style="7"/>
    <col min="13313" max="13313" width="33.42578125" style="7" customWidth="1"/>
    <col min="13314" max="13355" width="0" style="7" hidden="1" customWidth="1"/>
    <col min="13356" max="13568" width="12.42578125" style="7"/>
    <col min="13569" max="13569" width="33.42578125" style="7" customWidth="1"/>
    <col min="13570" max="13611" width="0" style="7" hidden="1" customWidth="1"/>
    <col min="13612" max="13824" width="12.42578125" style="7"/>
    <col min="13825" max="13825" width="33.42578125" style="7" customWidth="1"/>
    <col min="13826" max="13867" width="0" style="7" hidden="1" customWidth="1"/>
    <col min="13868" max="14080" width="12.42578125" style="7"/>
    <col min="14081" max="14081" width="33.42578125" style="7" customWidth="1"/>
    <col min="14082" max="14123" width="0" style="7" hidden="1" customWidth="1"/>
    <col min="14124" max="14336" width="12.42578125" style="7"/>
    <col min="14337" max="14337" width="33.42578125" style="7" customWidth="1"/>
    <col min="14338" max="14379" width="0" style="7" hidden="1" customWidth="1"/>
    <col min="14380" max="14592" width="12.42578125" style="7"/>
    <col min="14593" max="14593" width="33.42578125" style="7" customWidth="1"/>
    <col min="14594" max="14635" width="0" style="7" hidden="1" customWidth="1"/>
    <col min="14636" max="14848" width="12.42578125" style="7"/>
    <col min="14849" max="14849" width="33.42578125" style="7" customWidth="1"/>
    <col min="14850" max="14891" width="0" style="7" hidden="1" customWidth="1"/>
    <col min="14892" max="15104" width="12.42578125" style="7"/>
    <col min="15105" max="15105" width="33.42578125" style="7" customWidth="1"/>
    <col min="15106" max="15147" width="0" style="7" hidden="1" customWidth="1"/>
    <col min="15148" max="15360" width="12.42578125" style="7"/>
    <col min="15361" max="15361" width="33.42578125" style="7" customWidth="1"/>
    <col min="15362" max="15403" width="0" style="7" hidden="1" customWidth="1"/>
    <col min="15404" max="15616" width="12.42578125" style="7"/>
    <col min="15617" max="15617" width="33.42578125" style="7" customWidth="1"/>
    <col min="15618" max="15659" width="0" style="7" hidden="1" customWidth="1"/>
    <col min="15660" max="15872" width="12.42578125" style="7"/>
    <col min="15873" max="15873" width="33.42578125" style="7" customWidth="1"/>
    <col min="15874" max="15915" width="0" style="7" hidden="1" customWidth="1"/>
    <col min="15916" max="16128" width="12.42578125" style="7"/>
    <col min="16129" max="16129" width="33.42578125" style="7" customWidth="1"/>
    <col min="16130" max="16171" width="0" style="7" hidden="1" customWidth="1"/>
    <col min="16172" max="16384" width="12.42578125" style="7"/>
  </cols>
  <sheetData>
    <row r="1" spans="1:51" s="7" customFormat="1" ht="20.25" customHeight="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s="7" customFormat="1" ht="14.25">
      <c r="A2" s="8"/>
      <c r="B2" s="9"/>
      <c r="C2" s="9"/>
      <c r="D2" s="9"/>
      <c r="E2" s="9"/>
      <c r="F2" s="9"/>
      <c r="G2" s="9"/>
      <c r="H2" s="9"/>
      <c r="I2" s="9"/>
      <c r="J2" s="9"/>
      <c r="K2" s="9"/>
      <c r="L2" s="9"/>
      <c r="P2" s="9"/>
      <c r="Q2" s="9"/>
      <c r="R2" s="9"/>
      <c r="S2" s="9"/>
      <c r="T2" s="9"/>
      <c r="V2" s="9"/>
      <c r="W2" s="9"/>
      <c r="X2" s="9"/>
      <c r="Z2" s="9"/>
      <c r="AA2" s="9"/>
      <c r="AC2" s="9"/>
      <c r="AI2" s="9"/>
      <c r="AM2" s="9"/>
      <c r="AN2" s="9"/>
      <c r="AQ2" s="9"/>
      <c r="AU2" s="9"/>
      <c r="AY2" s="9" t="s">
        <v>1</v>
      </c>
    </row>
    <row r="3" spans="1:51" s="7" customFormat="1">
      <c r="A3" s="10"/>
      <c r="B3" s="11">
        <v>2009</v>
      </c>
      <c r="C3" s="12">
        <v>2010</v>
      </c>
      <c r="D3" s="12"/>
      <c r="E3" s="12"/>
      <c r="F3" s="12"/>
      <c r="G3" s="13">
        <v>2011</v>
      </c>
      <c r="H3" s="13"/>
      <c r="I3" s="13"/>
      <c r="J3" s="14"/>
      <c r="K3" s="15">
        <v>2012</v>
      </c>
      <c r="L3" s="16"/>
      <c r="M3" s="16"/>
      <c r="N3" s="17"/>
      <c r="O3" s="15">
        <v>2013</v>
      </c>
      <c r="P3" s="16"/>
      <c r="Q3" s="16"/>
      <c r="R3" s="16"/>
      <c r="S3" s="18">
        <v>2014</v>
      </c>
      <c r="T3" s="19"/>
      <c r="U3" s="19"/>
      <c r="V3" s="20"/>
      <c r="W3" s="18">
        <v>2015</v>
      </c>
      <c r="X3" s="19"/>
      <c r="Y3" s="19"/>
      <c r="Z3" s="21"/>
      <c r="AA3" s="22">
        <v>2016</v>
      </c>
      <c r="AB3" s="22"/>
      <c r="AC3" s="22"/>
      <c r="AD3" s="22"/>
      <c r="AE3" s="18">
        <v>2017</v>
      </c>
      <c r="AF3" s="19"/>
      <c r="AG3" s="19"/>
      <c r="AH3" s="21"/>
      <c r="AI3" s="18">
        <v>2018</v>
      </c>
      <c r="AJ3" s="19"/>
      <c r="AK3" s="19"/>
      <c r="AL3" s="21"/>
      <c r="AM3" s="18">
        <v>2019</v>
      </c>
      <c r="AN3" s="19"/>
      <c r="AO3" s="19"/>
      <c r="AP3" s="21"/>
      <c r="AQ3" s="18">
        <v>2020</v>
      </c>
      <c r="AR3" s="19"/>
      <c r="AS3" s="19"/>
      <c r="AT3" s="21"/>
      <c r="AU3" s="18">
        <v>2021</v>
      </c>
      <c r="AV3" s="19"/>
      <c r="AW3" s="19"/>
      <c r="AX3" s="21"/>
      <c r="AY3" s="23">
        <v>2022</v>
      </c>
    </row>
    <row r="4" spans="1:51" s="7" customFormat="1" ht="15.75">
      <c r="A4" s="10"/>
      <c r="B4" s="24" t="s">
        <v>39</v>
      </c>
      <c r="C4" s="24" t="s">
        <v>36</v>
      </c>
      <c r="D4" s="24" t="s">
        <v>37</v>
      </c>
      <c r="E4" s="24" t="s">
        <v>38</v>
      </c>
      <c r="F4" s="24" t="s">
        <v>39</v>
      </c>
      <c r="G4" s="24" t="s">
        <v>36</v>
      </c>
      <c r="H4" s="24" t="s">
        <v>40</v>
      </c>
      <c r="I4" s="24" t="s">
        <v>38</v>
      </c>
      <c r="J4" s="24" t="s">
        <v>39</v>
      </c>
      <c r="K4" s="24" t="s">
        <v>36</v>
      </c>
      <c r="L4" s="24" t="s">
        <v>40</v>
      </c>
      <c r="M4" s="24" t="s">
        <v>43</v>
      </c>
      <c r="N4" s="24" t="s">
        <v>44</v>
      </c>
      <c r="O4" s="25" t="s">
        <v>45</v>
      </c>
      <c r="P4" s="25" t="s">
        <v>46</v>
      </c>
      <c r="Q4" s="25" t="s">
        <v>43</v>
      </c>
      <c r="R4" s="24" t="s">
        <v>44</v>
      </c>
      <c r="S4" s="25" t="s">
        <v>45</v>
      </c>
      <c r="T4" s="25" t="s">
        <v>46</v>
      </c>
      <c r="U4" s="25" t="s">
        <v>43</v>
      </c>
      <c r="V4" s="25" t="s">
        <v>44</v>
      </c>
      <c r="W4" s="25" t="s">
        <v>45</v>
      </c>
      <c r="X4" s="25" t="s">
        <v>46</v>
      </c>
      <c r="Y4" s="25" t="s">
        <v>43</v>
      </c>
      <c r="Z4" s="25" t="s">
        <v>44</v>
      </c>
      <c r="AA4" s="25" t="s">
        <v>45</v>
      </c>
      <c r="AB4" s="25" t="s">
        <v>46</v>
      </c>
      <c r="AC4" s="25" t="s">
        <v>43</v>
      </c>
      <c r="AD4" s="25" t="s">
        <v>44</v>
      </c>
      <c r="AE4" s="25" t="s">
        <v>45</v>
      </c>
      <c r="AF4" s="25" t="s">
        <v>46</v>
      </c>
      <c r="AG4" s="25" t="s">
        <v>43</v>
      </c>
      <c r="AH4" s="25" t="s">
        <v>44</v>
      </c>
      <c r="AI4" s="24" t="s">
        <v>45</v>
      </c>
      <c r="AJ4" s="24" t="s">
        <v>46</v>
      </c>
      <c r="AK4" s="24" t="s">
        <v>43</v>
      </c>
      <c r="AL4" s="24" t="s">
        <v>44</v>
      </c>
      <c r="AM4" s="24" t="s">
        <v>45</v>
      </c>
      <c r="AN4" s="24" t="s">
        <v>46</v>
      </c>
      <c r="AO4" s="24" t="s">
        <v>43</v>
      </c>
      <c r="AP4" s="24" t="s">
        <v>51</v>
      </c>
      <c r="AQ4" s="24" t="s">
        <v>52</v>
      </c>
      <c r="AR4" s="24" t="s">
        <v>53</v>
      </c>
      <c r="AS4" s="24" t="s">
        <v>54</v>
      </c>
      <c r="AT4" s="24" t="s">
        <v>55</v>
      </c>
      <c r="AU4" s="24" t="s">
        <v>52</v>
      </c>
      <c r="AV4" s="24" t="s">
        <v>53</v>
      </c>
      <c r="AW4" s="24" t="s">
        <v>54</v>
      </c>
      <c r="AX4" s="24" t="s">
        <v>55</v>
      </c>
      <c r="AY4" s="24" t="s">
        <v>56</v>
      </c>
    </row>
    <row r="5" spans="1:51" s="28" customFormat="1">
      <c r="A5" s="26" t="s">
        <v>2</v>
      </c>
      <c r="B5" s="26">
        <f t="shared" ref="B5:AU5" si="0">B6+B12</f>
        <v>21887</v>
      </c>
      <c r="C5" s="26">
        <f t="shared" si="0"/>
        <v>21227.399999999998</v>
      </c>
      <c r="D5" s="26">
        <f t="shared" si="0"/>
        <v>21628.1</v>
      </c>
      <c r="E5" s="26">
        <f t="shared" si="0"/>
        <v>24558.7</v>
      </c>
      <c r="F5" s="26">
        <f t="shared" si="0"/>
        <v>27016.100000000002</v>
      </c>
      <c r="G5" s="26">
        <f t="shared" si="0"/>
        <v>29554.400000000001</v>
      </c>
      <c r="H5" s="26">
        <f t="shared" si="0"/>
        <v>29963.3</v>
      </c>
      <c r="I5" s="26">
        <f t="shared" si="0"/>
        <v>31138.5</v>
      </c>
      <c r="J5" s="26">
        <f t="shared" si="0"/>
        <v>31541.399999999998</v>
      </c>
      <c r="K5" s="26">
        <f t="shared" si="0"/>
        <v>31495</v>
      </c>
      <c r="L5" s="26">
        <f t="shared" si="0"/>
        <v>34468.399999999994</v>
      </c>
      <c r="M5" s="26">
        <f t="shared" si="0"/>
        <v>35470.9</v>
      </c>
      <c r="N5" s="26">
        <f t="shared" si="0"/>
        <v>36127.1</v>
      </c>
      <c r="O5" s="26">
        <f t="shared" si="0"/>
        <v>37540</v>
      </c>
      <c r="P5" s="26">
        <f t="shared" si="0"/>
        <v>42700.5</v>
      </c>
      <c r="Q5" s="26">
        <f t="shared" si="0"/>
        <v>45803.8</v>
      </c>
      <c r="R5" s="27">
        <f t="shared" si="0"/>
        <v>47322.500000000007</v>
      </c>
      <c r="S5" s="27">
        <f t="shared" si="0"/>
        <v>48923.8</v>
      </c>
      <c r="T5" s="27">
        <f t="shared" si="0"/>
        <v>51604.600000000006</v>
      </c>
      <c r="U5" s="27">
        <f t="shared" si="0"/>
        <v>51450.400000000009</v>
      </c>
      <c r="V5" s="27">
        <f t="shared" si="0"/>
        <v>51566.1</v>
      </c>
      <c r="W5" s="27">
        <f t="shared" si="0"/>
        <v>56153.1</v>
      </c>
      <c r="X5" s="27">
        <f t="shared" si="0"/>
        <v>54847</v>
      </c>
      <c r="Y5" s="27">
        <f t="shared" si="0"/>
        <v>54690</v>
      </c>
      <c r="Z5" s="27">
        <f t="shared" si="0"/>
        <v>54802</v>
      </c>
      <c r="AA5" s="27">
        <f t="shared" si="0"/>
        <v>54150</v>
      </c>
      <c r="AB5" s="27">
        <f t="shared" si="0"/>
        <v>53579</v>
      </c>
      <c r="AC5" s="27">
        <f t="shared" si="0"/>
        <v>53219</v>
      </c>
      <c r="AD5" s="27">
        <f t="shared" si="0"/>
        <v>51739</v>
      </c>
      <c r="AE5" s="27">
        <f t="shared" si="0"/>
        <v>46204</v>
      </c>
      <c r="AF5" s="27">
        <f t="shared" si="0"/>
        <v>46321</v>
      </c>
      <c r="AG5" s="27">
        <f t="shared" si="0"/>
        <v>45105.2</v>
      </c>
      <c r="AH5" s="27">
        <f t="shared" si="0"/>
        <v>45206</v>
      </c>
      <c r="AI5" s="27">
        <f t="shared" si="0"/>
        <v>44623</v>
      </c>
      <c r="AJ5" s="27">
        <f t="shared" si="0"/>
        <v>44606</v>
      </c>
      <c r="AK5" s="27">
        <f t="shared" si="0"/>
        <v>42145</v>
      </c>
      <c r="AL5" s="27">
        <f t="shared" si="0"/>
        <v>41481</v>
      </c>
      <c r="AM5" s="27">
        <f t="shared" si="0"/>
        <v>40311.599999999999</v>
      </c>
      <c r="AN5" s="27">
        <f t="shared" si="0"/>
        <v>40303.5</v>
      </c>
      <c r="AO5" s="27">
        <f t="shared" si="0"/>
        <v>39249</v>
      </c>
      <c r="AP5" s="27">
        <f t="shared" si="0"/>
        <v>39639.25</v>
      </c>
      <c r="AQ5" s="27">
        <f t="shared" si="0"/>
        <v>33658.700000000004</v>
      </c>
      <c r="AR5" s="27">
        <f t="shared" si="0"/>
        <v>43714.2</v>
      </c>
      <c r="AS5" s="27">
        <f t="shared" si="0"/>
        <v>67931.649999999994</v>
      </c>
      <c r="AT5" s="27">
        <f t="shared" si="0"/>
        <v>68762</v>
      </c>
      <c r="AU5" s="27">
        <f t="shared" si="0"/>
        <v>83271.150000000009</v>
      </c>
      <c r="AV5" s="27">
        <f>AV6+AV12</f>
        <v>85106.049999999988</v>
      </c>
      <c r="AW5" s="27">
        <f>AW6+AW12</f>
        <v>79617.099999999991</v>
      </c>
      <c r="AX5" s="27">
        <f>AX6+AX12</f>
        <v>81409.8</v>
      </c>
      <c r="AY5" s="27">
        <f>AY6+AY12</f>
        <v>80023.3</v>
      </c>
    </row>
    <row r="6" spans="1:51" s="28" customFormat="1">
      <c r="A6" s="29" t="s">
        <v>3</v>
      </c>
      <c r="B6" s="30">
        <f t="shared" ref="B6:AU6" si="1">SUM(B7:B10)</f>
        <v>236.7</v>
      </c>
      <c r="C6" s="30">
        <f t="shared" si="1"/>
        <v>29.3</v>
      </c>
      <c r="D6" s="30">
        <f t="shared" si="1"/>
        <v>29.3</v>
      </c>
      <c r="E6" s="30">
        <f t="shared" si="1"/>
        <v>51</v>
      </c>
      <c r="F6" s="30">
        <f t="shared" si="1"/>
        <v>106.2</v>
      </c>
      <c r="G6" s="30">
        <f t="shared" si="1"/>
        <v>81.7</v>
      </c>
      <c r="H6" s="30">
        <f t="shared" si="1"/>
        <v>15</v>
      </c>
      <c r="I6" s="30">
        <f t="shared" si="1"/>
        <v>65</v>
      </c>
      <c r="J6" s="30">
        <f t="shared" si="1"/>
        <v>272.60000000000002</v>
      </c>
      <c r="K6" s="30">
        <f t="shared" si="1"/>
        <v>330.6</v>
      </c>
      <c r="L6" s="30">
        <f t="shared" si="1"/>
        <v>819.7</v>
      </c>
      <c r="M6" s="30">
        <f t="shared" si="1"/>
        <v>387</v>
      </c>
      <c r="N6" s="30">
        <f t="shared" si="1"/>
        <v>216</v>
      </c>
      <c r="O6" s="30">
        <f t="shared" si="1"/>
        <v>36.299999999999997</v>
      </c>
      <c r="P6" s="30">
        <f t="shared" si="1"/>
        <v>131.69999999999999</v>
      </c>
      <c r="Q6" s="30">
        <f t="shared" si="1"/>
        <v>183.9</v>
      </c>
      <c r="R6" s="30">
        <f t="shared" si="1"/>
        <v>400.4</v>
      </c>
      <c r="S6" s="30">
        <f t="shared" si="1"/>
        <v>437.9</v>
      </c>
      <c r="T6" s="30">
        <f t="shared" si="1"/>
        <v>391.5</v>
      </c>
      <c r="U6" s="30">
        <f t="shared" si="1"/>
        <v>329.3</v>
      </c>
      <c r="V6" s="30">
        <f t="shared" si="1"/>
        <v>207.1</v>
      </c>
      <c r="W6" s="30">
        <f t="shared" si="1"/>
        <v>53.1</v>
      </c>
      <c r="X6" s="30">
        <f t="shared" si="1"/>
        <v>16</v>
      </c>
      <c r="Y6" s="30">
        <f t="shared" si="1"/>
        <v>20</v>
      </c>
      <c r="Z6" s="30">
        <f t="shared" si="1"/>
        <v>131</v>
      </c>
      <c r="AA6" s="30">
        <f t="shared" si="1"/>
        <v>131</v>
      </c>
      <c r="AB6" s="30">
        <f t="shared" si="1"/>
        <v>128</v>
      </c>
      <c r="AC6" s="30">
        <f t="shared" si="1"/>
        <v>135</v>
      </c>
      <c r="AD6" s="30">
        <f t="shared" si="1"/>
        <v>32</v>
      </c>
      <c r="AE6" s="30">
        <f t="shared" si="1"/>
        <v>39</v>
      </c>
      <c r="AF6" s="30">
        <f t="shared" si="1"/>
        <v>39</v>
      </c>
      <c r="AG6" s="30">
        <f t="shared" si="1"/>
        <v>36</v>
      </c>
      <c r="AH6" s="30">
        <f t="shared" si="1"/>
        <v>28</v>
      </c>
      <c r="AI6" s="30">
        <f t="shared" si="1"/>
        <v>29</v>
      </c>
      <c r="AJ6" s="30">
        <f t="shared" si="1"/>
        <v>14</v>
      </c>
      <c r="AK6" s="30">
        <f t="shared" si="1"/>
        <v>12</v>
      </c>
      <c r="AL6" s="30">
        <f t="shared" si="1"/>
        <v>17</v>
      </c>
      <c r="AM6" s="30">
        <f t="shared" si="1"/>
        <v>12</v>
      </c>
      <c r="AN6" s="30">
        <f t="shared" si="1"/>
        <v>10.3</v>
      </c>
      <c r="AO6" s="30">
        <f t="shared" si="1"/>
        <v>13.4</v>
      </c>
      <c r="AP6" s="30">
        <f t="shared" si="1"/>
        <v>36</v>
      </c>
      <c r="AQ6" s="30">
        <f t="shared" si="1"/>
        <v>20.65</v>
      </c>
      <c r="AR6" s="30">
        <f t="shared" si="1"/>
        <v>33.950000000000003</v>
      </c>
      <c r="AS6" s="30">
        <f t="shared" si="1"/>
        <v>31.95</v>
      </c>
      <c r="AT6" s="30">
        <f t="shared" si="1"/>
        <v>24.6</v>
      </c>
      <c r="AU6" s="30">
        <f t="shared" si="1"/>
        <v>24.6</v>
      </c>
      <c r="AV6" s="30">
        <f>SUM(AV7:AV10)</f>
        <v>21.7</v>
      </c>
      <c r="AW6" s="30">
        <f>SUM(AW7:AW10)</f>
        <v>21.65</v>
      </c>
      <c r="AX6" s="30">
        <f>SUM(AX7:AX10)</f>
        <v>31.45</v>
      </c>
      <c r="AY6" s="30">
        <f>SUM(AY7:AY10)</f>
        <v>27.45</v>
      </c>
    </row>
    <row r="7" spans="1:51" s="28" customFormat="1">
      <c r="A7" s="31" t="s">
        <v>4</v>
      </c>
      <c r="B7" s="32">
        <v>236.7</v>
      </c>
      <c r="C7" s="32">
        <v>29.3</v>
      </c>
      <c r="D7" s="32">
        <v>29.3</v>
      </c>
      <c r="E7" s="32">
        <v>51</v>
      </c>
      <c r="F7" s="32">
        <v>106.2</v>
      </c>
      <c r="G7" s="32">
        <v>81.7</v>
      </c>
      <c r="H7" s="32">
        <v>15</v>
      </c>
      <c r="I7" s="32">
        <v>65</v>
      </c>
      <c r="J7" s="32">
        <v>272.60000000000002</v>
      </c>
      <c r="K7" s="32">
        <v>330.6</v>
      </c>
      <c r="L7" s="33">
        <v>819.7</v>
      </c>
      <c r="M7" s="34">
        <v>387</v>
      </c>
      <c r="N7" s="34">
        <v>216</v>
      </c>
      <c r="O7" s="32">
        <v>36.299999999999997</v>
      </c>
      <c r="P7" s="32">
        <v>131.69999999999999</v>
      </c>
      <c r="Q7" s="32">
        <v>183.9</v>
      </c>
      <c r="R7" s="32">
        <v>400.4</v>
      </c>
      <c r="S7" s="32">
        <v>437.9</v>
      </c>
      <c r="T7" s="32">
        <v>391.5</v>
      </c>
      <c r="U7" s="32">
        <v>329.3</v>
      </c>
      <c r="V7" s="32">
        <v>207.1</v>
      </c>
      <c r="W7" s="32">
        <v>53.1</v>
      </c>
      <c r="X7" s="32">
        <v>16</v>
      </c>
      <c r="Y7" s="32">
        <v>20</v>
      </c>
      <c r="Z7" s="32">
        <v>131</v>
      </c>
      <c r="AA7" s="32">
        <v>131</v>
      </c>
      <c r="AB7" s="32">
        <v>128</v>
      </c>
      <c r="AC7" s="32">
        <v>135</v>
      </c>
      <c r="AD7" s="32">
        <v>32</v>
      </c>
      <c r="AE7" s="32">
        <v>39</v>
      </c>
      <c r="AF7" s="32">
        <v>39</v>
      </c>
      <c r="AG7" s="32">
        <v>36</v>
      </c>
      <c r="AH7" s="32">
        <v>28</v>
      </c>
      <c r="AI7" s="32">
        <v>29</v>
      </c>
      <c r="AJ7" s="32">
        <v>14</v>
      </c>
      <c r="AK7" s="32">
        <v>12</v>
      </c>
      <c r="AL7" s="32">
        <v>17</v>
      </c>
      <c r="AM7" s="32">
        <v>12</v>
      </c>
      <c r="AN7" s="32">
        <v>10.3</v>
      </c>
      <c r="AO7" s="32">
        <v>13.4</v>
      </c>
      <c r="AP7" s="32">
        <v>36</v>
      </c>
      <c r="AQ7" s="32">
        <v>20.65</v>
      </c>
      <c r="AR7" s="32">
        <v>33.950000000000003</v>
      </c>
      <c r="AS7" s="32">
        <v>31.95</v>
      </c>
      <c r="AT7" s="32">
        <v>24.6</v>
      </c>
      <c r="AU7" s="32">
        <v>24.6</v>
      </c>
      <c r="AV7" s="32">
        <v>21.7</v>
      </c>
      <c r="AW7" s="32">
        <v>21.65</v>
      </c>
      <c r="AX7" s="32">
        <v>31.45</v>
      </c>
      <c r="AY7" s="32">
        <v>27.45</v>
      </c>
    </row>
    <row r="8" spans="1:51" s="28" customFormat="1">
      <c r="A8" s="31" t="s">
        <v>5</v>
      </c>
      <c r="B8" s="32"/>
      <c r="C8" s="32"/>
      <c r="D8" s="32"/>
      <c r="E8" s="32"/>
      <c r="F8" s="32"/>
      <c r="G8" s="32"/>
      <c r="H8" s="32"/>
      <c r="I8" s="32"/>
      <c r="J8" s="32"/>
      <c r="K8" s="32"/>
      <c r="L8" s="33"/>
      <c r="M8" s="33"/>
      <c r="N8" s="33"/>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s="28" customFormat="1">
      <c r="A9" s="31" t="s">
        <v>6</v>
      </c>
      <c r="B9" s="32"/>
      <c r="C9" s="32"/>
      <c r="D9" s="32"/>
      <c r="E9" s="32"/>
      <c r="F9" s="32"/>
      <c r="G9" s="32"/>
      <c r="H9" s="32"/>
      <c r="I9" s="32"/>
      <c r="J9" s="32"/>
      <c r="K9" s="32"/>
      <c r="L9" s="33"/>
      <c r="M9" s="33"/>
      <c r="N9" s="33"/>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1:51" s="28" customFormat="1">
      <c r="A10" s="31" t="s">
        <v>7</v>
      </c>
      <c r="B10" s="32"/>
      <c r="C10" s="32"/>
      <c r="D10" s="32"/>
      <c r="E10" s="32"/>
      <c r="F10" s="32"/>
      <c r="G10" s="32"/>
      <c r="H10" s="32"/>
      <c r="I10" s="32"/>
      <c r="J10" s="32"/>
      <c r="K10" s="32"/>
      <c r="L10" s="33"/>
      <c r="M10" s="33"/>
      <c r="N10" s="33"/>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row>
    <row r="11" spans="1:51" s="28" customFormat="1">
      <c r="A11" s="31"/>
      <c r="B11" s="32"/>
      <c r="C11" s="32"/>
      <c r="D11" s="32"/>
      <c r="E11" s="32"/>
      <c r="F11" s="32"/>
      <c r="G11" s="32"/>
      <c r="H11" s="32"/>
      <c r="I11" s="32"/>
      <c r="J11" s="32"/>
      <c r="K11" s="32"/>
      <c r="L11" s="33"/>
      <c r="M11" s="33"/>
      <c r="N11" s="33"/>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s="28" customFormat="1">
      <c r="A12" s="29" t="s">
        <v>8</v>
      </c>
      <c r="B12" s="30">
        <f t="shared" ref="B12:AU12" si="2">SUM(B13:B16)</f>
        <v>21650.3</v>
      </c>
      <c r="C12" s="30">
        <f t="shared" si="2"/>
        <v>21198.1</v>
      </c>
      <c r="D12" s="30">
        <f t="shared" si="2"/>
        <v>21598.799999999999</v>
      </c>
      <c r="E12" s="30">
        <f t="shared" si="2"/>
        <v>24507.7</v>
      </c>
      <c r="F12" s="30">
        <f t="shared" si="2"/>
        <v>26909.9</v>
      </c>
      <c r="G12" s="30">
        <f t="shared" si="2"/>
        <v>29472.7</v>
      </c>
      <c r="H12" s="30">
        <f t="shared" si="2"/>
        <v>29948.3</v>
      </c>
      <c r="I12" s="30">
        <f t="shared" si="2"/>
        <v>31073.5</v>
      </c>
      <c r="J12" s="30">
        <f t="shared" si="2"/>
        <v>31268.799999999999</v>
      </c>
      <c r="K12" s="30">
        <f t="shared" si="2"/>
        <v>31164.400000000001</v>
      </c>
      <c r="L12" s="30">
        <f t="shared" si="2"/>
        <v>33648.699999999997</v>
      </c>
      <c r="M12" s="30">
        <f t="shared" si="2"/>
        <v>35083.9</v>
      </c>
      <c r="N12" s="30">
        <f t="shared" si="2"/>
        <v>35911.1</v>
      </c>
      <c r="O12" s="30">
        <f t="shared" si="2"/>
        <v>37503.699999999997</v>
      </c>
      <c r="P12" s="30">
        <f t="shared" si="2"/>
        <v>42568.800000000003</v>
      </c>
      <c r="Q12" s="30">
        <f t="shared" si="2"/>
        <v>45619.9</v>
      </c>
      <c r="R12" s="30">
        <f t="shared" si="2"/>
        <v>46922.100000000006</v>
      </c>
      <c r="S12" s="30">
        <f t="shared" si="2"/>
        <v>48485.9</v>
      </c>
      <c r="T12" s="30">
        <f t="shared" si="2"/>
        <v>51213.100000000006</v>
      </c>
      <c r="U12" s="30">
        <f t="shared" si="2"/>
        <v>51121.100000000006</v>
      </c>
      <c r="V12" s="30">
        <f t="shared" si="2"/>
        <v>51359</v>
      </c>
      <c r="W12" s="30">
        <f t="shared" si="2"/>
        <v>56100</v>
      </c>
      <c r="X12" s="30">
        <f t="shared" si="2"/>
        <v>54831</v>
      </c>
      <c r="Y12" s="30">
        <f t="shared" si="2"/>
        <v>54670</v>
      </c>
      <c r="Z12" s="30">
        <f t="shared" si="2"/>
        <v>54671</v>
      </c>
      <c r="AA12" s="30">
        <f t="shared" si="2"/>
        <v>54019</v>
      </c>
      <c r="AB12" s="30">
        <f t="shared" si="2"/>
        <v>53451</v>
      </c>
      <c r="AC12" s="30">
        <f t="shared" si="2"/>
        <v>53084</v>
      </c>
      <c r="AD12" s="30">
        <f t="shared" si="2"/>
        <v>51707</v>
      </c>
      <c r="AE12" s="30">
        <f t="shared" si="2"/>
        <v>46165</v>
      </c>
      <c r="AF12" s="30">
        <f t="shared" si="2"/>
        <v>46282</v>
      </c>
      <c r="AG12" s="30">
        <f t="shared" si="2"/>
        <v>45069.2</v>
      </c>
      <c r="AH12" s="30">
        <f t="shared" si="2"/>
        <v>45178</v>
      </c>
      <c r="AI12" s="30">
        <f t="shared" si="2"/>
        <v>44594</v>
      </c>
      <c r="AJ12" s="30">
        <f t="shared" si="2"/>
        <v>44592</v>
      </c>
      <c r="AK12" s="30">
        <f t="shared" si="2"/>
        <v>42133</v>
      </c>
      <c r="AL12" s="30">
        <f t="shared" si="2"/>
        <v>41464</v>
      </c>
      <c r="AM12" s="30">
        <f t="shared" si="2"/>
        <v>40299.599999999999</v>
      </c>
      <c r="AN12" s="30">
        <f t="shared" si="2"/>
        <v>40293.199999999997</v>
      </c>
      <c r="AO12" s="30">
        <f t="shared" si="2"/>
        <v>39235.599999999999</v>
      </c>
      <c r="AP12" s="30">
        <f t="shared" si="2"/>
        <v>39603.25</v>
      </c>
      <c r="AQ12" s="30">
        <f t="shared" si="2"/>
        <v>33638.050000000003</v>
      </c>
      <c r="AR12" s="30">
        <f t="shared" si="2"/>
        <v>43680.25</v>
      </c>
      <c r="AS12" s="30">
        <f t="shared" si="2"/>
        <v>67899.7</v>
      </c>
      <c r="AT12" s="30">
        <f t="shared" si="2"/>
        <v>68737.399999999994</v>
      </c>
      <c r="AU12" s="30">
        <f t="shared" si="2"/>
        <v>83246.55</v>
      </c>
      <c r="AV12" s="30">
        <f>SUM(AV13:AV16)</f>
        <v>85084.349999999991</v>
      </c>
      <c r="AW12" s="30">
        <f>SUM(AW13:AW16)</f>
        <v>79595.45</v>
      </c>
      <c r="AX12" s="30">
        <f>SUM(AX13:AX16)</f>
        <v>81378.350000000006</v>
      </c>
      <c r="AY12" s="30">
        <f>SUM(AY13:AY16)</f>
        <v>79995.850000000006</v>
      </c>
    </row>
    <row r="13" spans="1:51" s="28" customFormat="1">
      <c r="A13" s="31" t="s">
        <v>9</v>
      </c>
      <c r="B13" s="32">
        <v>30.3</v>
      </c>
      <c r="C13" s="32">
        <v>30.3</v>
      </c>
      <c r="D13" s="32"/>
      <c r="E13" s="32"/>
      <c r="F13" s="32"/>
      <c r="G13" s="32">
        <v>6</v>
      </c>
      <c r="H13" s="32">
        <v>6</v>
      </c>
      <c r="I13" s="32">
        <v>10</v>
      </c>
      <c r="J13" s="32">
        <v>10</v>
      </c>
      <c r="K13" s="32">
        <v>13</v>
      </c>
      <c r="L13" s="34">
        <v>25</v>
      </c>
      <c r="M13" s="34">
        <v>25</v>
      </c>
      <c r="N13" s="34">
        <v>25</v>
      </c>
      <c r="O13" s="32">
        <v>25</v>
      </c>
      <c r="P13" s="32">
        <v>25.3</v>
      </c>
      <c r="Q13" s="32">
        <v>26.3</v>
      </c>
      <c r="R13" s="32">
        <v>26.3</v>
      </c>
      <c r="S13" s="32">
        <v>26.8</v>
      </c>
      <c r="T13" s="32">
        <v>26.8</v>
      </c>
      <c r="U13" s="32">
        <v>26.8</v>
      </c>
      <c r="V13" s="32">
        <v>26.8</v>
      </c>
      <c r="W13" s="32">
        <v>30.3</v>
      </c>
      <c r="X13" s="32">
        <v>30.3</v>
      </c>
      <c r="Y13" s="32">
        <v>33.799999999999997</v>
      </c>
      <c r="Z13" s="32">
        <v>53.8</v>
      </c>
      <c r="AA13" s="32">
        <v>54.8</v>
      </c>
      <c r="AB13" s="32">
        <v>59.9</v>
      </c>
      <c r="AC13" s="32">
        <v>59.9</v>
      </c>
      <c r="AD13" s="32">
        <v>59.9</v>
      </c>
      <c r="AE13" s="32">
        <v>155</v>
      </c>
      <c r="AF13" s="32">
        <v>309</v>
      </c>
      <c r="AG13" s="32">
        <v>272.2</v>
      </c>
      <c r="AH13" s="32">
        <v>253</v>
      </c>
      <c r="AI13" s="32">
        <v>257</v>
      </c>
      <c r="AJ13" s="32">
        <v>271</v>
      </c>
      <c r="AK13" s="32">
        <v>158</v>
      </c>
      <c r="AL13" s="32">
        <v>163</v>
      </c>
      <c r="AM13" s="32">
        <v>163.6</v>
      </c>
      <c r="AN13" s="32">
        <v>164.2</v>
      </c>
      <c r="AO13" s="32">
        <v>196.6</v>
      </c>
      <c r="AP13" s="32">
        <v>264.85000000000002</v>
      </c>
      <c r="AQ13" s="32">
        <v>299.64999999999998</v>
      </c>
      <c r="AR13" s="32">
        <v>330.25</v>
      </c>
      <c r="AS13" s="32">
        <f>349.2+3230.65+5665.85</f>
        <v>9245.7000000000007</v>
      </c>
      <c r="AT13" s="32">
        <v>9249.4</v>
      </c>
      <c r="AU13" s="32">
        <v>14990.55</v>
      </c>
      <c r="AV13" s="32">
        <v>13511.75</v>
      </c>
      <c r="AW13" s="32">
        <v>10559.35</v>
      </c>
      <c r="AX13" s="32">
        <v>13067.85</v>
      </c>
      <c r="AY13" s="32">
        <v>12756.85</v>
      </c>
    </row>
    <row r="14" spans="1:51" s="28" customFormat="1">
      <c r="A14" s="31" t="s">
        <v>41</v>
      </c>
      <c r="B14" s="30">
        <f>16753+270</f>
        <v>17023</v>
      </c>
      <c r="C14" s="32">
        <f>16429.8+211</f>
        <v>16640.8</v>
      </c>
      <c r="D14" s="32">
        <f>16823.8+211</f>
        <v>17034.8</v>
      </c>
      <c r="E14" s="32">
        <f>19735.7+236</f>
        <v>19971.7</v>
      </c>
      <c r="F14" s="30">
        <f>22180.9+225</f>
        <v>22405.9</v>
      </c>
      <c r="G14" s="30">
        <f>24891.7+219</f>
        <v>25110.7</v>
      </c>
      <c r="H14" s="32">
        <f>25323.3+208</f>
        <v>25531.3</v>
      </c>
      <c r="I14" s="32">
        <f>26471.5+204</f>
        <v>26675.5</v>
      </c>
      <c r="J14" s="32">
        <f>26708.8+191</f>
        <v>26899.8</v>
      </c>
      <c r="K14" s="30">
        <f>26629.4+191</f>
        <v>26820.400000000001</v>
      </c>
      <c r="L14" s="30">
        <f>28887.7+185</f>
        <v>29072.7</v>
      </c>
      <c r="M14" s="30">
        <f>30324.9+189</f>
        <v>30513.9</v>
      </c>
      <c r="N14" s="30">
        <f>31163.1+180</f>
        <v>31343.1</v>
      </c>
      <c r="O14" s="32">
        <f>32775.7+181</f>
        <v>32956.699999999997</v>
      </c>
      <c r="P14" s="30">
        <f>37857.5+171</f>
        <v>38028.5</v>
      </c>
      <c r="Q14" s="30">
        <f>40897.6+171</f>
        <v>41068.6</v>
      </c>
      <c r="R14" s="30">
        <f>42242.8+160</f>
        <v>42402.8</v>
      </c>
      <c r="S14" s="30">
        <f>43802.1+160</f>
        <v>43962.1</v>
      </c>
      <c r="T14" s="30">
        <f>46512.3+149</f>
        <v>46661.3</v>
      </c>
      <c r="U14" s="30">
        <f>46448.3+149</f>
        <v>46597.3</v>
      </c>
      <c r="V14" s="30">
        <f>46773-26.8+137</f>
        <v>46883.199999999997</v>
      </c>
      <c r="W14" s="30">
        <f>51075-30.3+149</f>
        <v>51193.7</v>
      </c>
      <c r="X14" s="30">
        <f>49920-30.3+136</f>
        <v>50025.7</v>
      </c>
      <c r="Y14" s="30">
        <f>49701-33.8+138</f>
        <v>49805.2</v>
      </c>
      <c r="Z14" s="30">
        <f>49727-53.8+126</f>
        <v>49799.199999999997</v>
      </c>
      <c r="AA14" s="30">
        <v>49145.2</v>
      </c>
      <c r="AB14" s="30">
        <v>48587.1</v>
      </c>
      <c r="AC14" s="30">
        <v>48231.1</v>
      </c>
      <c r="AD14" s="30">
        <v>46975.1</v>
      </c>
      <c r="AE14" s="30">
        <v>41363</v>
      </c>
      <c r="AF14" s="30">
        <v>41333</v>
      </c>
      <c r="AG14" s="30">
        <v>40174</v>
      </c>
      <c r="AH14" s="30">
        <v>40320</v>
      </c>
      <c r="AI14" s="30">
        <v>39660</v>
      </c>
      <c r="AJ14" s="30">
        <v>39620</v>
      </c>
      <c r="AK14" s="30">
        <v>37331</v>
      </c>
      <c r="AL14" s="30">
        <v>36690</v>
      </c>
      <c r="AM14" s="30">
        <v>35465</v>
      </c>
      <c r="AN14" s="30">
        <v>35367</v>
      </c>
      <c r="AO14" s="30">
        <v>34225</v>
      </c>
      <c r="AP14" s="30">
        <v>34439</v>
      </c>
      <c r="AQ14" s="30">
        <v>28111</v>
      </c>
      <c r="AR14" s="30">
        <v>37975</v>
      </c>
      <c r="AS14" s="30">
        <v>53197</v>
      </c>
      <c r="AT14" s="30">
        <v>53977</v>
      </c>
      <c r="AU14" s="30">
        <v>62678</v>
      </c>
      <c r="AV14" s="30">
        <v>65684.2</v>
      </c>
      <c r="AW14" s="30">
        <v>63184.1</v>
      </c>
      <c r="AX14" s="30">
        <v>62408.5</v>
      </c>
      <c r="AY14" s="30">
        <v>61282</v>
      </c>
    </row>
    <row r="15" spans="1:51" s="28" customFormat="1">
      <c r="A15" s="31" t="s">
        <v>10</v>
      </c>
      <c r="B15" s="32"/>
      <c r="C15" s="32"/>
      <c r="D15" s="32"/>
      <c r="E15" s="32"/>
      <c r="F15" s="32"/>
      <c r="G15" s="32"/>
      <c r="H15" s="32"/>
      <c r="I15" s="32"/>
      <c r="J15" s="32"/>
      <c r="K15" s="32"/>
      <c r="L15" s="33"/>
      <c r="M15" s="33"/>
      <c r="N15" s="33"/>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row>
    <row r="16" spans="1:51" s="28" customFormat="1" ht="15.75">
      <c r="A16" s="31" t="s">
        <v>57</v>
      </c>
      <c r="B16" s="32">
        <v>4597</v>
      </c>
      <c r="C16" s="35">
        <v>4527</v>
      </c>
      <c r="D16" s="35">
        <v>4564</v>
      </c>
      <c r="E16" s="35">
        <v>4536</v>
      </c>
      <c r="F16" s="32">
        <v>4504</v>
      </c>
      <c r="G16" s="32">
        <v>4356</v>
      </c>
      <c r="H16" s="32">
        <v>4411</v>
      </c>
      <c r="I16" s="32">
        <v>4388</v>
      </c>
      <c r="J16" s="32">
        <v>4359</v>
      </c>
      <c r="K16" s="32">
        <v>4331</v>
      </c>
      <c r="L16" s="33">
        <v>4551</v>
      </c>
      <c r="M16" s="33">
        <v>4545</v>
      </c>
      <c r="N16" s="33">
        <v>4543</v>
      </c>
      <c r="O16" s="32">
        <v>4522</v>
      </c>
      <c r="P16" s="32">
        <v>4515</v>
      </c>
      <c r="Q16" s="32">
        <v>4525</v>
      </c>
      <c r="R16" s="32">
        <v>4493</v>
      </c>
      <c r="S16" s="32">
        <v>4497</v>
      </c>
      <c r="T16" s="32">
        <v>4525</v>
      </c>
      <c r="U16" s="32">
        <v>4497</v>
      </c>
      <c r="V16" s="32">
        <v>4449</v>
      </c>
      <c r="W16" s="32">
        <v>4876</v>
      </c>
      <c r="X16" s="32">
        <v>4775</v>
      </c>
      <c r="Y16" s="32">
        <v>4831</v>
      </c>
      <c r="Z16" s="32">
        <v>4818</v>
      </c>
      <c r="AA16" s="32">
        <v>4819</v>
      </c>
      <c r="AB16" s="32">
        <v>4804</v>
      </c>
      <c r="AC16" s="32">
        <v>4793</v>
      </c>
      <c r="AD16" s="32">
        <v>4672</v>
      </c>
      <c r="AE16" s="32">
        <v>4647</v>
      </c>
      <c r="AF16" s="32">
        <v>4640</v>
      </c>
      <c r="AG16" s="32">
        <v>4623</v>
      </c>
      <c r="AH16" s="32">
        <v>4605</v>
      </c>
      <c r="AI16" s="32">
        <v>4677</v>
      </c>
      <c r="AJ16" s="32">
        <v>4701</v>
      </c>
      <c r="AK16" s="32">
        <v>4644</v>
      </c>
      <c r="AL16" s="32">
        <v>4611</v>
      </c>
      <c r="AM16" s="32">
        <v>4671</v>
      </c>
      <c r="AN16" s="32">
        <v>4762</v>
      </c>
      <c r="AO16" s="32">
        <v>4814</v>
      </c>
      <c r="AP16" s="32">
        <v>4899.3999999999996</v>
      </c>
      <c r="AQ16" s="32">
        <v>5227.3999999999996</v>
      </c>
      <c r="AR16" s="32">
        <v>5375</v>
      </c>
      <c r="AS16" s="32">
        <v>5457</v>
      </c>
      <c r="AT16" s="32">
        <v>5511</v>
      </c>
      <c r="AU16" s="32">
        <v>5578</v>
      </c>
      <c r="AV16" s="32">
        <v>5888.4</v>
      </c>
      <c r="AW16" s="32">
        <v>5852</v>
      </c>
      <c r="AX16" s="32">
        <v>5902</v>
      </c>
      <c r="AY16" s="32">
        <v>5957</v>
      </c>
    </row>
    <row r="17" spans="1:51" s="28" customFormat="1">
      <c r="A17" s="31"/>
      <c r="B17" s="32"/>
      <c r="C17" s="32"/>
      <c r="D17" s="32"/>
      <c r="E17" s="32"/>
      <c r="F17" s="32"/>
      <c r="G17" s="32"/>
      <c r="H17" s="32"/>
      <c r="I17" s="32"/>
      <c r="J17" s="32"/>
      <c r="K17" s="32"/>
      <c r="L17" s="33"/>
      <c r="M17" s="33"/>
      <c r="N17" s="33"/>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row>
    <row r="18" spans="1:51" s="28" customFormat="1">
      <c r="A18" s="26" t="s">
        <v>11</v>
      </c>
      <c r="B18" s="36">
        <f t="shared" ref="B18:AU18" si="3">B19+B25</f>
        <v>63.2</v>
      </c>
      <c r="C18" s="36">
        <f t="shared" si="3"/>
        <v>91.300000000000011</v>
      </c>
      <c r="D18" s="36">
        <f t="shared" si="3"/>
        <v>60.800000000000004</v>
      </c>
      <c r="E18" s="36">
        <f t="shared" si="3"/>
        <v>94.399999999999991</v>
      </c>
      <c r="F18" s="36">
        <f t="shared" si="3"/>
        <v>129.69999999999999</v>
      </c>
      <c r="G18" s="36">
        <f t="shared" si="3"/>
        <v>139.22099999999998</v>
      </c>
      <c r="H18" s="36">
        <f t="shared" si="3"/>
        <v>487.27100000000002</v>
      </c>
      <c r="I18" s="36">
        <f t="shared" si="3"/>
        <v>186.72</v>
      </c>
      <c r="J18" s="36">
        <f t="shared" si="3"/>
        <v>146.62</v>
      </c>
      <c r="K18" s="36">
        <f t="shared" si="3"/>
        <v>148.1</v>
      </c>
      <c r="L18" s="36">
        <f t="shared" si="3"/>
        <v>156.19999999999999</v>
      </c>
      <c r="M18" s="36">
        <f t="shared" si="3"/>
        <v>116.937</v>
      </c>
      <c r="N18" s="36">
        <f t="shared" si="3"/>
        <v>115.6</v>
      </c>
      <c r="O18" s="36">
        <f t="shared" si="3"/>
        <v>114.4</v>
      </c>
      <c r="P18" s="36">
        <f t="shared" si="3"/>
        <v>113</v>
      </c>
      <c r="Q18" s="36">
        <f t="shared" si="3"/>
        <v>109.3</v>
      </c>
      <c r="R18" s="36">
        <f t="shared" si="3"/>
        <v>103.8</v>
      </c>
      <c r="S18" s="36">
        <f t="shared" si="3"/>
        <v>269.97630101421998</v>
      </c>
      <c r="T18" s="36">
        <f t="shared" si="3"/>
        <v>339.53789460421996</v>
      </c>
      <c r="U18" s="36">
        <f t="shared" si="3"/>
        <v>287.13766312521659</v>
      </c>
      <c r="V18" s="36">
        <f t="shared" si="3"/>
        <v>180.70069716544606</v>
      </c>
      <c r="W18" s="36">
        <f t="shared" si="3"/>
        <v>112.84233883978</v>
      </c>
      <c r="X18" s="36">
        <f t="shared" si="3"/>
        <v>123.509977211962</v>
      </c>
      <c r="Y18" s="36">
        <f t="shared" si="3"/>
        <v>175.2</v>
      </c>
      <c r="Z18" s="36">
        <f t="shared" si="3"/>
        <v>349.80878811679088</v>
      </c>
      <c r="AA18" s="36">
        <f t="shared" si="3"/>
        <v>293.94499999999999</v>
      </c>
      <c r="AB18" s="36">
        <f t="shared" si="3"/>
        <v>326.7</v>
      </c>
      <c r="AC18" s="36">
        <f t="shared" si="3"/>
        <v>333.6</v>
      </c>
      <c r="AD18" s="36">
        <f t="shared" si="3"/>
        <v>335.2</v>
      </c>
      <c r="AE18" s="36">
        <f t="shared" si="3"/>
        <v>334.1</v>
      </c>
      <c r="AF18" s="36">
        <f t="shared" si="3"/>
        <v>333.6</v>
      </c>
      <c r="AG18" s="36">
        <f t="shared" si="3"/>
        <v>337.8</v>
      </c>
      <c r="AH18" s="36">
        <f t="shared" si="3"/>
        <v>338.00000000000006</v>
      </c>
      <c r="AI18" s="36">
        <f t="shared" si="3"/>
        <v>253.42647785787696</v>
      </c>
      <c r="AJ18" s="36">
        <f t="shared" si="3"/>
        <v>210.96042463828101</v>
      </c>
      <c r="AK18" s="36">
        <f t="shared" si="3"/>
        <v>351.07678888873801</v>
      </c>
      <c r="AL18" s="36">
        <f t="shared" si="3"/>
        <v>531.15202438848303</v>
      </c>
      <c r="AM18" s="36">
        <f t="shared" si="3"/>
        <v>550.61012452025989</v>
      </c>
      <c r="AN18" s="36">
        <f t="shared" si="3"/>
        <v>337.518172256892</v>
      </c>
      <c r="AO18" s="36">
        <f t="shared" si="3"/>
        <v>337.26575517246403</v>
      </c>
      <c r="AP18" s="36">
        <f t="shared" si="3"/>
        <v>325.38762182639903</v>
      </c>
      <c r="AQ18" s="36">
        <f t="shared" si="3"/>
        <v>367.92832329821397</v>
      </c>
      <c r="AR18" s="36">
        <f t="shared" si="3"/>
        <v>10025.485557643324</v>
      </c>
      <c r="AS18" s="36">
        <f t="shared" si="3"/>
        <v>10178.152517423621</v>
      </c>
      <c r="AT18" s="36">
        <f t="shared" si="3"/>
        <v>2732.9709095310418</v>
      </c>
      <c r="AU18" s="36">
        <f t="shared" si="3"/>
        <v>4799.0807093228686</v>
      </c>
      <c r="AV18" s="36">
        <f>AV19+AV25</f>
        <v>8934.8822045277648</v>
      </c>
      <c r="AW18" s="36">
        <f>AW19+AW25</f>
        <v>26057.18364092147</v>
      </c>
      <c r="AX18" s="36">
        <f>AX19+AX25</f>
        <v>35321.549607866596</v>
      </c>
      <c r="AY18" s="36">
        <f>AY19+AY25</f>
        <v>40947.455451019494</v>
      </c>
    </row>
    <row r="19" spans="1:51" s="28" customFormat="1">
      <c r="A19" s="29" t="s">
        <v>12</v>
      </c>
      <c r="B19" s="32">
        <f t="shared" ref="B19:AU19" si="4">B20+B21+B22+B23</f>
        <v>63.2</v>
      </c>
      <c r="C19" s="32">
        <f t="shared" si="4"/>
        <v>91.300000000000011</v>
      </c>
      <c r="D19" s="32">
        <f t="shared" si="4"/>
        <v>60.800000000000004</v>
      </c>
      <c r="E19" s="32">
        <f t="shared" si="4"/>
        <v>94.399999999999991</v>
      </c>
      <c r="F19" s="32">
        <f t="shared" si="4"/>
        <v>129.69999999999999</v>
      </c>
      <c r="G19" s="32">
        <f t="shared" si="4"/>
        <v>139.22099999999998</v>
      </c>
      <c r="H19" s="32">
        <f t="shared" si="4"/>
        <v>487.27100000000002</v>
      </c>
      <c r="I19" s="32">
        <f t="shared" si="4"/>
        <v>186.72</v>
      </c>
      <c r="J19" s="32">
        <f t="shared" si="4"/>
        <v>146.62</v>
      </c>
      <c r="K19" s="32">
        <f t="shared" si="4"/>
        <v>148.1</v>
      </c>
      <c r="L19" s="32">
        <f t="shared" si="4"/>
        <v>156.19999999999999</v>
      </c>
      <c r="M19" s="32">
        <f t="shared" si="4"/>
        <v>116.937</v>
      </c>
      <c r="N19" s="32">
        <f t="shared" si="4"/>
        <v>115.6</v>
      </c>
      <c r="O19" s="32">
        <f t="shared" si="4"/>
        <v>114.4</v>
      </c>
      <c r="P19" s="32">
        <f t="shared" si="4"/>
        <v>113</v>
      </c>
      <c r="Q19" s="32">
        <f t="shared" si="4"/>
        <v>109.3</v>
      </c>
      <c r="R19" s="32">
        <f t="shared" si="4"/>
        <v>103.8</v>
      </c>
      <c r="S19" s="32">
        <f t="shared" si="4"/>
        <v>269.97630101421998</v>
      </c>
      <c r="T19" s="32">
        <f t="shared" si="4"/>
        <v>339.53789460421996</v>
      </c>
      <c r="U19" s="32">
        <f t="shared" si="4"/>
        <v>287.13766312521659</v>
      </c>
      <c r="V19" s="32">
        <f t="shared" si="4"/>
        <v>180.70069716544606</v>
      </c>
      <c r="W19" s="32">
        <f t="shared" si="4"/>
        <v>112.84233883978</v>
      </c>
      <c r="X19" s="32">
        <f t="shared" si="4"/>
        <v>123.509977211962</v>
      </c>
      <c r="Y19" s="32">
        <f t="shared" si="4"/>
        <v>175.2</v>
      </c>
      <c r="Z19" s="32">
        <f t="shared" si="4"/>
        <v>345.60878811679089</v>
      </c>
      <c r="AA19" s="32">
        <f t="shared" si="4"/>
        <v>284.44499999999999</v>
      </c>
      <c r="AB19" s="32">
        <f t="shared" si="4"/>
        <v>317.2</v>
      </c>
      <c r="AC19" s="32">
        <f t="shared" si="4"/>
        <v>324.10000000000002</v>
      </c>
      <c r="AD19" s="32">
        <f t="shared" si="4"/>
        <v>325.7</v>
      </c>
      <c r="AE19" s="32">
        <f t="shared" si="4"/>
        <v>324.60000000000002</v>
      </c>
      <c r="AF19" s="32">
        <f t="shared" si="4"/>
        <v>324.10000000000002</v>
      </c>
      <c r="AG19" s="32">
        <f t="shared" si="4"/>
        <v>328.3</v>
      </c>
      <c r="AH19" s="32">
        <f t="shared" si="4"/>
        <v>334.40000000000003</v>
      </c>
      <c r="AI19" s="32">
        <f t="shared" si="4"/>
        <v>232.62647785787695</v>
      </c>
      <c r="AJ19" s="32">
        <f t="shared" si="4"/>
        <v>189.660424638281</v>
      </c>
      <c r="AK19" s="32">
        <f t="shared" si="4"/>
        <v>329.776788888738</v>
      </c>
      <c r="AL19" s="32">
        <f t="shared" si="4"/>
        <v>509.85202438848302</v>
      </c>
      <c r="AM19" s="32">
        <f t="shared" si="4"/>
        <v>529.31012452025993</v>
      </c>
      <c r="AN19" s="32">
        <f t="shared" si="4"/>
        <v>316.21817225689199</v>
      </c>
      <c r="AO19" s="32">
        <f t="shared" si="4"/>
        <v>315.96575517246401</v>
      </c>
      <c r="AP19" s="32">
        <f t="shared" si="4"/>
        <v>304.08762182639902</v>
      </c>
      <c r="AQ19" s="32">
        <f t="shared" si="4"/>
        <v>339.92832329821397</v>
      </c>
      <c r="AR19" s="32">
        <f t="shared" si="4"/>
        <v>10015.335557643324</v>
      </c>
      <c r="AS19" s="32">
        <f t="shared" si="4"/>
        <v>10169.152517423621</v>
      </c>
      <c r="AT19" s="32">
        <f t="shared" si="4"/>
        <v>2725.8709095310419</v>
      </c>
      <c r="AU19" s="32">
        <f t="shared" si="4"/>
        <v>726.42070932286879</v>
      </c>
      <c r="AV19" s="32">
        <f>AV20+AV21+AV22+AV23</f>
        <v>4665.9922045277654</v>
      </c>
      <c r="AW19" s="32">
        <f>AW20+AW21+AW22+AW23</f>
        <v>4667.7336409214686</v>
      </c>
      <c r="AX19" s="32">
        <f>AX20+AX21+AX22+AX23</f>
        <v>492.62960786659801</v>
      </c>
      <c r="AY19" s="32">
        <f>AY20+AY21+AY22+AY23</f>
        <v>907.0454510194902</v>
      </c>
    </row>
    <row r="20" spans="1:51" s="28" customFormat="1">
      <c r="A20" s="31" t="s">
        <v>13</v>
      </c>
      <c r="B20" s="32"/>
      <c r="C20" s="32"/>
      <c r="D20" s="32"/>
      <c r="E20" s="32"/>
      <c r="F20" s="32"/>
      <c r="G20" s="32"/>
      <c r="H20" s="32"/>
      <c r="I20" s="32"/>
      <c r="J20" s="32"/>
      <c r="K20" s="32"/>
      <c r="L20" s="33"/>
      <c r="M20" s="33"/>
      <c r="N20" s="33"/>
      <c r="O20" s="32"/>
      <c r="P20" s="32"/>
      <c r="Q20" s="32"/>
      <c r="R20" s="32"/>
      <c r="S20" s="32">
        <v>148.1</v>
      </c>
      <c r="T20" s="32">
        <v>246.7</v>
      </c>
      <c r="U20" s="32">
        <v>193.6774163148516</v>
      </c>
      <c r="V20" s="32">
        <v>94.729277783943033</v>
      </c>
      <c r="W20" s="32">
        <v>0</v>
      </c>
      <c r="X20" s="32">
        <v>0</v>
      </c>
      <c r="Y20" s="32">
        <v>0</v>
      </c>
      <c r="Z20" s="32">
        <v>3.5</v>
      </c>
      <c r="AA20" s="32">
        <v>3.5</v>
      </c>
      <c r="AB20" s="32">
        <v>0</v>
      </c>
      <c r="AC20" s="32">
        <v>0</v>
      </c>
      <c r="AD20" s="32">
        <v>0</v>
      </c>
      <c r="AE20" s="32">
        <v>0</v>
      </c>
      <c r="AF20" s="32">
        <v>0</v>
      </c>
      <c r="AG20" s="32">
        <v>7</v>
      </c>
      <c r="AH20" s="32">
        <v>11.3</v>
      </c>
      <c r="AI20" s="32">
        <v>11.3</v>
      </c>
      <c r="AJ20" s="32">
        <v>31.8</v>
      </c>
      <c r="AK20" s="32">
        <v>28.2</v>
      </c>
      <c r="AL20" s="32">
        <v>34.200000000000003</v>
      </c>
      <c r="AM20" s="32">
        <v>62.1</v>
      </c>
      <c r="AN20" s="32">
        <v>47.3</v>
      </c>
      <c r="AO20" s="32">
        <v>75.5</v>
      </c>
      <c r="AP20" s="32">
        <v>56.65</v>
      </c>
      <c r="AQ20" s="32">
        <v>46.25</v>
      </c>
      <c r="AR20" s="32">
        <v>17.149999999999999</v>
      </c>
      <c r="AS20" s="32">
        <v>42.8</v>
      </c>
      <c r="AT20" s="32">
        <v>35.85</v>
      </c>
      <c r="AU20" s="32">
        <v>35.450000000000003</v>
      </c>
      <c r="AV20" s="32">
        <v>49.75</v>
      </c>
      <c r="AW20" s="32">
        <v>29.35</v>
      </c>
      <c r="AX20" s="32">
        <v>44.25</v>
      </c>
      <c r="AY20" s="32">
        <v>24.35</v>
      </c>
    </row>
    <row r="21" spans="1:51" s="28" customFormat="1">
      <c r="A21" s="31" t="s">
        <v>14</v>
      </c>
      <c r="B21" s="32"/>
      <c r="C21" s="32"/>
      <c r="D21" s="32"/>
      <c r="E21" s="32"/>
      <c r="F21" s="32"/>
      <c r="G21" s="32"/>
      <c r="H21" s="32"/>
      <c r="I21" s="32"/>
      <c r="J21" s="32"/>
      <c r="K21" s="32"/>
      <c r="L21" s="33"/>
      <c r="M21" s="33"/>
      <c r="N21" s="33"/>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v>9659.004697280001</v>
      </c>
      <c r="AS21" s="32">
        <v>9614.8623936900003</v>
      </c>
      <c r="AT21" s="32">
        <v>1976.6671715999998</v>
      </c>
      <c r="AU21" s="32">
        <v>0</v>
      </c>
      <c r="AV21" s="32">
        <v>4263.2873692899993</v>
      </c>
      <c r="AW21" s="32">
        <v>4276.8100000000013</v>
      </c>
      <c r="AX21" s="32"/>
      <c r="AY21" s="32"/>
    </row>
    <row r="22" spans="1:51" s="28" customFormat="1">
      <c r="A22" s="31" t="s">
        <v>15</v>
      </c>
      <c r="B22" s="32">
        <v>62.2</v>
      </c>
      <c r="C22" s="32">
        <v>90.9</v>
      </c>
      <c r="D22" s="32">
        <v>60.7</v>
      </c>
      <c r="E22" s="32">
        <v>94.3</v>
      </c>
      <c r="F22" s="32">
        <v>129.6</v>
      </c>
      <c r="G22" s="32">
        <v>139.19999999999999</v>
      </c>
      <c r="H22" s="32">
        <v>487.25</v>
      </c>
      <c r="I22" s="32">
        <v>186.7</v>
      </c>
      <c r="J22" s="32">
        <v>146.6</v>
      </c>
      <c r="K22" s="32">
        <v>148.1</v>
      </c>
      <c r="L22" s="32">
        <v>156.19999999999999</v>
      </c>
      <c r="M22" s="32">
        <v>116.937</v>
      </c>
      <c r="N22" s="32">
        <v>115.6</v>
      </c>
      <c r="O22" s="32">
        <v>114.4</v>
      </c>
      <c r="P22" s="32">
        <v>113</v>
      </c>
      <c r="Q22" s="32">
        <v>109.3</v>
      </c>
      <c r="R22" s="32">
        <v>103.8</v>
      </c>
      <c r="S22" s="32">
        <v>121.87630101422</v>
      </c>
      <c r="T22" s="32">
        <v>92.837894604219983</v>
      </c>
      <c r="U22" s="32">
        <v>93.460246810364993</v>
      </c>
      <c r="V22" s="32">
        <v>85.971419381503011</v>
      </c>
      <c r="W22" s="32">
        <v>112.84233883978</v>
      </c>
      <c r="X22" s="32">
        <v>123.509977211962</v>
      </c>
      <c r="Y22" s="32">
        <v>175.2</v>
      </c>
      <c r="Z22" s="32">
        <v>342.10878811679089</v>
      </c>
      <c r="AA22" s="32">
        <v>280.94499999999999</v>
      </c>
      <c r="AB22" s="32">
        <v>317.2</v>
      </c>
      <c r="AC22" s="32">
        <v>324.10000000000002</v>
      </c>
      <c r="AD22" s="32">
        <v>325.7</v>
      </c>
      <c r="AE22" s="32">
        <v>324.60000000000002</v>
      </c>
      <c r="AF22" s="32">
        <v>324.10000000000002</v>
      </c>
      <c r="AG22" s="32">
        <v>321.3</v>
      </c>
      <c r="AH22" s="32">
        <v>323.10000000000002</v>
      </c>
      <c r="AI22" s="32">
        <v>221.32647785787694</v>
      </c>
      <c r="AJ22" s="32">
        <v>157.86042463828099</v>
      </c>
      <c r="AK22" s="32">
        <v>301.57678888873801</v>
      </c>
      <c r="AL22" s="32">
        <v>475.65202438848303</v>
      </c>
      <c r="AM22" s="32">
        <v>467.21012452025997</v>
      </c>
      <c r="AN22" s="32">
        <v>268.91817225689198</v>
      </c>
      <c r="AO22" s="32">
        <v>240.46575517246401</v>
      </c>
      <c r="AP22" s="32">
        <v>247.43762182639901</v>
      </c>
      <c r="AQ22" s="32">
        <v>291.62642329821398</v>
      </c>
      <c r="AR22" s="32">
        <v>337.07521736332194</v>
      </c>
      <c r="AS22" s="32">
        <v>509.36867973362098</v>
      </c>
      <c r="AT22" s="32">
        <v>711.259814931042</v>
      </c>
      <c r="AU22" s="32">
        <v>688.8566293228688</v>
      </c>
      <c r="AV22" s="32">
        <v>350.71337723776594</v>
      </c>
      <c r="AW22" s="32">
        <v>359.29951592146688</v>
      </c>
      <c r="AX22" s="32">
        <v>446.06811886659801</v>
      </c>
      <c r="AY22" s="32">
        <v>880.39558901949022</v>
      </c>
    </row>
    <row r="23" spans="1:51" s="28" customFormat="1">
      <c r="A23" s="31" t="s">
        <v>16</v>
      </c>
      <c r="B23" s="32">
        <v>1</v>
      </c>
      <c r="C23" s="32">
        <v>0.4</v>
      </c>
      <c r="D23" s="32">
        <v>0.1</v>
      </c>
      <c r="E23" s="32">
        <v>0.1</v>
      </c>
      <c r="F23" s="32">
        <v>0.1</v>
      </c>
      <c r="G23" s="32">
        <v>2.1000000000000001E-2</v>
      </c>
      <c r="H23" s="32">
        <v>2.1000000000000001E-2</v>
      </c>
      <c r="I23" s="32">
        <v>0.02</v>
      </c>
      <c r="J23" s="32">
        <v>0.02</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2.0518999999999998</v>
      </c>
      <c r="AR23" s="32">
        <v>2.1056430000000002</v>
      </c>
      <c r="AS23" s="32">
        <v>2.1214439999999999</v>
      </c>
      <c r="AT23" s="32">
        <v>2.0939230000000002</v>
      </c>
      <c r="AU23" s="32">
        <v>2.11408</v>
      </c>
      <c r="AV23" s="32">
        <v>2.2414580000000002</v>
      </c>
      <c r="AW23" s="32">
        <v>2.2741250000000002</v>
      </c>
      <c r="AX23" s="32">
        <v>2.3114889999999999</v>
      </c>
      <c r="AY23" s="32">
        <v>2.2998620000000001</v>
      </c>
    </row>
    <row r="24" spans="1:51" s="28" customFormat="1">
      <c r="A24" s="31"/>
      <c r="B24" s="32"/>
      <c r="C24" s="32"/>
      <c r="D24" s="32"/>
      <c r="E24" s="32"/>
      <c r="F24" s="32"/>
      <c r="G24" s="32"/>
      <c r="H24" s="32"/>
      <c r="I24" s="32"/>
      <c r="J24" s="32"/>
      <c r="K24" s="32"/>
      <c r="L24" s="33"/>
      <c r="M24" s="33"/>
      <c r="N24" s="33"/>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row>
    <row r="25" spans="1:51" s="28" customFormat="1">
      <c r="A25" s="29" t="s">
        <v>8</v>
      </c>
      <c r="B25" s="31">
        <f t="shared" ref="B25:N25" si="5">SUM(B26:B29)</f>
        <v>0</v>
      </c>
      <c r="C25" s="31">
        <f t="shared" si="5"/>
        <v>0</v>
      </c>
      <c r="D25" s="31">
        <f t="shared" si="5"/>
        <v>0</v>
      </c>
      <c r="E25" s="31">
        <f t="shared" si="5"/>
        <v>0</v>
      </c>
      <c r="F25" s="31">
        <f t="shared" si="5"/>
        <v>0</v>
      </c>
      <c r="G25" s="31">
        <f t="shared" si="5"/>
        <v>0</v>
      </c>
      <c r="H25" s="31">
        <f t="shared" si="5"/>
        <v>0</v>
      </c>
      <c r="I25" s="31">
        <f t="shared" si="5"/>
        <v>0</v>
      </c>
      <c r="J25" s="31">
        <f t="shared" si="5"/>
        <v>0</v>
      </c>
      <c r="K25" s="31">
        <f t="shared" si="5"/>
        <v>0</v>
      </c>
      <c r="L25" s="31">
        <f t="shared" si="5"/>
        <v>0</v>
      </c>
      <c r="M25" s="31">
        <f t="shared" si="5"/>
        <v>0</v>
      </c>
      <c r="N25" s="31">
        <f t="shared" si="5"/>
        <v>0</v>
      </c>
      <c r="O25" s="31">
        <f t="shared" ref="O25:AU26" si="6">SUM(O26:O29)</f>
        <v>0</v>
      </c>
      <c r="P25" s="31">
        <f t="shared" si="6"/>
        <v>0</v>
      </c>
      <c r="Q25" s="31">
        <f t="shared" si="6"/>
        <v>0</v>
      </c>
      <c r="R25" s="31">
        <f t="shared" si="6"/>
        <v>0</v>
      </c>
      <c r="S25" s="31">
        <f t="shared" si="6"/>
        <v>0</v>
      </c>
      <c r="T25" s="31">
        <f t="shared" si="6"/>
        <v>0</v>
      </c>
      <c r="U25" s="31">
        <f t="shared" si="6"/>
        <v>0</v>
      </c>
      <c r="V25" s="31">
        <f t="shared" si="6"/>
        <v>0</v>
      </c>
      <c r="W25" s="31">
        <f t="shared" si="6"/>
        <v>0</v>
      </c>
      <c r="X25" s="31">
        <f t="shared" si="6"/>
        <v>0</v>
      </c>
      <c r="Y25" s="31">
        <f t="shared" si="6"/>
        <v>0</v>
      </c>
      <c r="Z25" s="31">
        <f t="shared" si="6"/>
        <v>4.2</v>
      </c>
      <c r="AA25" s="31">
        <f t="shared" si="6"/>
        <v>9.5</v>
      </c>
      <c r="AB25" s="31">
        <f t="shared" si="6"/>
        <v>9.5</v>
      </c>
      <c r="AC25" s="31">
        <f t="shared" si="6"/>
        <v>9.5</v>
      </c>
      <c r="AD25" s="31">
        <f t="shared" si="6"/>
        <v>9.5</v>
      </c>
      <c r="AE25" s="31">
        <f t="shared" si="6"/>
        <v>9.5</v>
      </c>
      <c r="AF25" s="31">
        <f t="shared" si="6"/>
        <v>9.5</v>
      </c>
      <c r="AG25" s="31">
        <f t="shared" si="6"/>
        <v>9.5</v>
      </c>
      <c r="AH25" s="31">
        <f t="shared" si="6"/>
        <v>3.6</v>
      </c>
      <c r="AI25" s="31">
        <f t="shared" si="6"/>
        <v>20.8</v>
      </c>
      <c r="AJ25" s="31">
        <f t="shared" si="6"/>
        <v>21.3</v>
      </c>
      <c r="AK25" s="31">
        <f t="shared" si="6"/>
        <v>21.3</v>
      </c>
      <c r="AL25" s="31">
        <f t="shared" si="6"/>
        <v>21.3</v>
      </c>
      <c r="AM25" s="31">
        <f t="shared" si="6"/>
        <v>21.3</v>
      </c>
      <c r="AN25" s="31">
        <f t="shared" si="6"/>
        <v>21.3</v>
      </c>
      <c r="AO25" s="31">
        <f t="shared" si="6"/>
        <v>21.3</v>
      </c>
      <c r="AP25" s="31">
        <f t="shared" si="6"/>
        <v>21.3</v>
      </c>
      <c r="AQ25" s="31">
        <f t="shared" si="6"/>
        <v>28</v>
      </c>
      <c r="AR25" s="31">
        <f t="shared" si="6"/>
        <v>10.15</v>
      </c>
      <c r="AS25" s="31">
        <f t="shared" si="6"/>
        <v>9</v>
      </c>
      <c r="AT25" s="31">
        <f t="shared" si="6"/>
        <v>7.1</v>
      </c>
      <c r="AU25" s="31">
        <f t="shared" si="6"/>
        <v>4072.6600000000003</v>
      </c>
      <c r="AV25" s="31">
        <f>SUM(AV26:AV29)</f>
        <v>4268.8899999999994</v>
      </c>
      <c r="AW25" s="31">
        <f>SUM(AW26:AW29)</f>
        <v>21389.45</v>
      </c>
      <c r="AX25" s="31">
        <f>SUM(AX26:AX29)</f>
        <v>34828.92</v>
      </c>
      <c r="AY25" s="31">
        <f>SUM(AY26:AY29)</f>
        <v>40040.410000000003</v>
      </c>
    </row>
    <row r="26" spans="1:51" s="28" customFormat="1">
      <c r="A26" s="31" t="s">
        <v>17</v>
      </c>
      <c r="B26" s="32"/>
      <c r="C26" s="32"/>
      <c r="D26" s="32"/>
      <c r="E26" s="32"/>
      <c r="F26" s="32"/>
      <c r="G26" s="32"/>
      <c r="H26" s="32"/>
      <c r="I26" s="32"/>
      <c r="J26" s="32"/>
      <c r="K26" s="32"/>
      <c r="L26" s="33"/>
      <c r="M26" s="33"/>
      <c r="N26" s="33"/>
      <c r="O26" s="32"/>
      <c r="P26" s="32"/>
      <c r="Q26" s="32"/>
      <c r="R26" s="32"/>
      <c r="S26" s="32"/>
      <c r="T26" s="31">
        <f t="shared" si="6"/>
        <v>0</v>
      </c>
      <c r="U26" s="31">
        <f>SUM(U27:U30)</f>
        <v>0</v>
      </c>
      <c r="V26" s="31">
        <f>SUM(V27:V30)</f>
        <v>0</v>
      </c>
      <c r="W26" s="31">
        <f>SUM(W27:W30)</f>
        <v>0</v>
      </c>
      <c r="X26" s="31">
        <f>SUM(X27:X30)</f>
        <v>0</v>
      </c>
      <c r="Y26" s="31">
        <f>SUM(Y27:Y30)</f>
        <v>0</v>
      </c>
      <c r="Z26" s="32">
        <v>4.2</v>
      </c>
      <c r="AA26" s="32">
        <v>9.5</v>
      </c>
      <c r="AB26" s="32">
        <v>9.5</v>
      </c>
      <c r="AC26" s="32">
        <v>9.5</v>
      </c>
      <c r="AD26" s="32">
        <v>9.5</v>
      </c>
      <c r="AE26" s="32">
        <v>9.5</v>
      </c>
      <c r="AF26" s="32">
        <v>9.5</v>
      </c>
      <c r="AG26" s="32">
        <v>9.5</v>
      </c>
      <c r="AH26" s="32">
        <v>3.6</v>
      </c>
      <c r="AI26" s="32">
        <v>20.8</v>
      </c>
      <c r="AJ26" s="32">
        <v>21.3</v>
      </c>
      <c r="AK26" s="32">
        <v>21.3</v>
      </c>
      <c r="AL26" s="32">
        <v>21.3</v>
      </c>
      <c r="AM26" s="32">
        <v>21.3</v>
      </c>
      <c r="AN26" s="32">
        <v>21.3</v>
      </c>
      <c r="AO26" s="32">
        <v>21.3</v>
      </c>
      <c r="AP26" s="32">
        <v>21.3</v>
      </c>
      <c r="AQ26" s="32">
        <v>28</v>
      </c>
      <c r="AR26" s="32">
        <v>10.15</v>
      </c>
      <c r="AS26" s="32">
        <v>9</v>
      </c>
      <c r="AT26" s="32">
        <v>7.1</v>
      </c>
      <c r="AU26" s="32">
        <v>5.65</v>
      </c>
      <c r="AV26" s="32">
        <v>5.65</v>
      </c>
      <c r="AW26" s="32">
        <v>5.4</v>
      </c>
      <c r="AX26" s="32">
        <v>5.4</v>
      </c>
      <c r="AY26" s="32">
        <v>4.9000000000000004</v>
      </c>
    </row>
    <row r="27" spans="1:51" s="28" customFormat="1">
      <c r="A27" s="31" t="s">
        <v>18</v>
      </c>
      <c r="B27" s="33"/>
      <c r="C27" s="33"/>
      <c r="D27" s="33"/>
      <c r="E27" s="33"/>
      <c r="F27" s="33"/>
      <c r="G27" s="33"/>
      <c r="H27" s="33"/>
      <c r="I27" s="33"/>
      <c r="J27" s="33"/>
      <c r="K27" s="33"/>
      <c r="L27" s="33"/>
      <c r="M27" s="33"/>
      <c r="N27" s="33"/>
      <c r="O27" s="33"/>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v>4067.01</v>
      </c>
      <c r="AV27" s="32">
        <v>4263.24</v>
      </c>
      <c r="AW27" s="32">
        <v>21384.05</v>
      </c>
      <c r="AX27" s="32">
        <v>34823.519999999997</v>
      </c>
      <c r="AY27" s="32">
        <v>40035.51</v>
      </c>
    </row>
    <row r="28" spans="1:51" s="28" customFormat="1">
      <c r="A28" s="31" t="s">
        <v>19</v>
      </c>
      <c r="B28" s="32"/>
      <c r="C28" s="32"/>
      <c r="D28" s="32"/>
      <c r="E28" s="32"/>
      <c r="F28" s="32"/>
      <c r="G28" s="32"/>
      <c r="H28" s="32"/>
      <c r="I28" s="32"/>
      <c r="J28" s="32"/>
      <c r="K28" s="32"/>
      <c r="L28" s="33"/>
      <c r="M28" s="33"/>
      <c r="N28" s="33"/>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row>
    <row r="29" spans="1:51" s="28" customFormat="1">
      <c r="A29" s="31" t="s">
        <v>34</v>
      </c>
      <c r="B29" s="2"/>
      <c r="C29" s="35"/>
      <c r="D29" s="35"/>
      <c r="E29" s="35"/>
      <c r="F29" s="2"/>
      <c r="G29" s="2"/>
      <c r="H29" s="35"/>
      <c r="I29" s="35"/>
      <c r="J29" s="35"/>
      <c r="K29" s="2"/>
      <c r="L29" s="1"/>
      <c r="M29" s="33"/>
      <c r="N29" s="33"/>
      <c r="O29" s="35"/>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s="28" customFormat="1">
      <c r="A30" s="31"/>
      <c r="B30" s="32"/>
      <c r="C30" s="32"/>
      <c r="D30" s="32"/>
      <c r="E30" s="32"/>
      <c r="F30" s="32"/>
      <c r="G30" s="32"/>
      <c r="H30" s="32"/>
      <c r="I30" s="32"/>
      <c r="J30" s="32"/>
      <c r="K30" s="32"/>
      <c r="L30" s="33"/>
      <c r="M30" s="33"/>
      <c r="N30" s="33"/>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row>
    <row r="31" spans="1:51" s="28" customFormat="1">
      <c r="A31" s="26" t="s">
        <v>20</v>
      </c>
      <c r="B31" s="26">
        <f t="shared" ref="B31:AU31" si="7">B32+B38</f>
        <v>174637.9</v>
      </c>
      <c r="C31" s="26">
        <f t="shared" si="7"/>
        <v>168706.80000000002</v>
      </c>
      <c r="D31" s="26">
        <f t="shared" si="7"/>
        <v>196915.20000000001</v>
      </c>
      <c r="E31" s="26">
        <f t="shared" si="7"/>
        <v>198528.10000000003</v>
      </c>
      <c r="F31" s="26">
        <f t="shared" si="7"/>
        <v>188497.3</v>
      </c>
      <c r="G31" s="26">
        <f t="shared" si="7"/>
        <v>194167.4</v>
      </c>
      <c r="H31" s="26">
        <f t="shared" si="7"/>
        <v>190386.6</v>
      </c>
      <c r="I31" s="26">
        <f t="shared" si="7"/>
        <v>213139.09999999998</v>
      </c>
      <c r="J31" s="26">
        <f t="shared" si="7"/>
        <v>218392.2</v>
      </c>
      <c r="K31" s="26">
        <f t="shared" si="7"/>
        <v>220597.69999999998</v>
      </c>
      <c r="L31" s="26">
        <f t="shared" si="7"/>
        <v>248157.19999999998</v>
      </c>
      <c r="M31" s="26">
        <f t="shared" si="7"/>
        <v>234652.55995856313</v>
      </c>
      <c r="N31" s="26">
        <f t="shared" si="7"/>
        <v>247024.4</v>
      </c>
      <c r="O31" s="26">
        <f t="shared" si="7"/>
        <v>260829.3</v>
      </c>
      <c r="P31" s="26">
        <f t="shared" si="7"/>
        <v>281834.8</v>
      </c>
      <c r="Q31" s="26">
        <f t="shared" si="7"/>
        <v>282374.59999999998</v>
      </c>
      <c r="R31" s="26">
        <f t="shared" si="7"/>
        <v>284529.7</v>
      </c>
      <c r="S31" s="26">
        <f t="shared" si="7"/>
        <v>306341.4858943958</v>
      </c>
      <c r="T31" s="26">
        <f t="shared" si="7"/>
        <v>277434.76596440875</v>
      </c>
      <c r="U31" s="26">
        <f t="shared" si="7"/>
        <v>303132.96544482501</v>
      </c>
      <c r="V31" s="26">
        <f t="shared" si="7"/>
        <v>325999.57885613904</v>
      </c>
      <c r="W31" s="26">
        <f t="shared" si="7"/>
        <v>330286.30611265614</v>
      </c>
      <c r="X31" s="26">
        <f t="shared" si="7"/>
        <v>289006.00346621725</v>
      </c>
      <c r="Y31" s="26">
        <f t="shared" si="7"/>
        <v>282896.97880543274</v>
      </c>
      <c r="Z31" s="26">
        <f t="shared" si="7"/>
        <v>281389.43467059254</v>
      </c>
      <c r="AA31" s="26">
        <f t="shared" si="7"/>
        <v>295621.81212875078</v>
      </c>
      <c r="AB31" s="26">
        <f t="shared" si="7"/>
        <v>291263.2918805154</v>
      </c>
      <c r="AC31" s="26">
        <f t="shared" si="7"/>
        <v>280680.77674356202</v>
      </c>
      <c r="AD31" s="26">
        <f t="shared" si="7"/>
        <v>291465.58687449381</v>
      </c>
      <c r="AE31" s="26">
        <f t="shared" si="7"/>
        <v>295566.10431232455</v>
      </c>
      <c r="AF31" s="26">
        <f t="shared" si="7"/>
        <v>278849.5490921223</v>
      </c>
      <c r="AG31" s="26">
        <f t="shared" si="7"/>
        <v>275377.16439144191</v>
      </c>
      <c r="AH31" s="26">
        <f t="shared" si="7"/>
        <v>274999.53159338352</v>
      </c>
      <c r="AI31" s="26">
        <f t="shared" si="7"/>
        <v>306784.88675250689</v>
      </c>
      <c r="AJ31" s="26">
        <f t="shared" si="7"/>
        <v>280954.04971030646</v>
      </c>
      <c r="AK31" s="26">
        <f t="shared" si="7"/>
        <v>293542.7079007451</v>
      </c>
      <c r="AL31" s="26">
        <f t="shared" si="7"/>
        <v>307445.16519601876</v>
      </c>
      <c r="AM31" s="26">
        <f t="shared" si="7"/>
        <v>318580.07558830106</v>
      </c>
      <c r="AN31" s="26">
        <f t="shared" si="7"/>
        <v>331290.43917678046</v>
      </c>
      <c r="AO31" s="26">
        <f t="shared" si="7"/>
        <v>346577.05067147175</v>
      </c>
      <c r="AP31" s="26">
        <f t="shared" si="7"/>
        <v>373841.34559671732</v>
      </c>
      <c r="AQ31" s="26">
        <f t="shared" si="7"/>
        <v>389075.89019385556</v>
      </c>
      <c r="AR31" s="26">
        <f t="shared" si="7"/>
        <v>398778.15315295965</v>
      </c>
      <c r="AS31" s="26">
        <f t="shared" si="7"/>
        <v>377169.0927792376</v>
      </c>
      <c r="AT31" s="26">
        <f t="shared" si="7"/>
        <v>380135.23886770604</v>
      </c>
      <c r="AU31" s="26">
        <f t="shared" si="7"/>
        <v>413588.52368384262</v>
      </c>
      <c r="AV31" s="26">
        <f>AV32+AV38</f>
        <v>464322.35159668</v>
      </c>
      <c r="AW31" s="26">
        <f>AW32+AW38</f>
        <v>447151.98697538255</v>
      </c>
      <c r="AX31" s="26">
        <f>AX32+AX38</f>
        <v>461895.1421287597</v>
      </c>
      <c r="AY31" s="26">
        <f>AY32+AY38</f>
        <v>524346.16289981641</v>
      </c>
    </row>
    <row r="32" spans="1:51" s="28" customFormat="1">
      <c r="A32" s="29" t="s">
        <v>12</v>
      </c>
      <c r="B32" s="3">
        <f t="shared" ref="B32:L32" si="8">SUM(B33:B36)</f>
        <v>32235.399999999998</v>
      </c>
      <c r="C32" s="3">
        <f t="shared" si="8"/>
        <v>30765.600000000002</v>
      </c>
      <c r="D32" s="3">
        <f t="shared" si="8"/>
        <v>36275.699999999997</v>
      </c>
      <c r="E32" s="3">
        <f t="shared" si="8"/>
        <v>35822.199999999997</v>
      </c>
      <c r="F32" s="3">
        <f t="shared" si="8"/>
        <v>39847.5</v>
      </c>
      <c r="G32" s="3">
        <f t="shared" si="8"/>
        <v>57013.5</v>
      </c>
      <c r="H32" s="3">
        <f t="shared" si="8"/>
        <v>49838.1</v>
      </c>
      <c r="I32" s="3">
        <f t="shared" si="8"/>
        <v>46852.3</v>
      </c>
      <c r="J32" s="3">
        <f t="shared" si="8"/>
        <v>46931</v>
      </c>
      <c r="K32" s="3">
        <f t="shared" si="8"/>
        <v>48475.4</v>
      </c>
      <c r="L32" s="3">
        <f t="shared" si="8"/>
        <v>57092.799999999996</v>
      </c>
      <c r="M32" s="3">
        <f>SUM(M33:M36)</f>
        <v>55686.555436457085</v>
      </c>
      <c r="N32" s="3">
        <v>85218</v>
      </c>
      <c r="O32" s="3">
        <f t="shared" ref="O32:AU32" si="9">SUM(O33:O36)</f>
        <v>79295.3</v>
      </c>
      <c r="P32" s="3">
        <f t="shared" si="9"/>
        <v>87332.4</v>
      </c>
      <c r="Q32" s="3">
        <f t="shared" si="9"/>
        <v>88609</v>
      </c>
      <c r="R32" s="3">
        <f t="shared" si="9"/>
        <v>82927.8</v>
      </c>
      <c r="S32" s="3">
        <f t="shared" si="9"/>
        <v>177244.95245896964</v>
      </c>
      <c r="T32" s="3">
        <f t="shared" si="9"/>
        <v>135660.85382278438</v>
      </c>
      <c r="U32" s="3">
        <f t="shared" si="9"/>
        <v>142373.38185852536</v>
      </c>
      <c r="V32" s="3">
        <f t="shared" si="9"/>
        <v>164877.10270503993</v>
      </c>
      <c r="W32" s="3">
        <f t="shared" si="9"/>
        <v>172805.5100348265</v>
      </c>
      <c r="X32" s="3">
        <f t="shared" si="9"/>
        <v>156457.76895031615</v>
      </c>
      <c r="Y32" s="3">
        <f t="shared" si="9"/>
        <v>156591.71178493806</v>
      </c>
      <c r="Z32" s="3">
        <f t="shared" si="9"/>
        <v>163974.26775632551</v>
      </c>
      <c r="AA32" s="3">
        <f t="shared" si="9"/>
        <v>153323.65317685102</v>
      </c>
      <c r="AB32" s="3">
        <f t="shared" si="9"/>
        <v>157277.30194958556</v>
      </c>
      <c r="AC32" s="3">
        <f t="shared" si="9"/>
        <v>163993.97529980604</v>
      </c>
      <c r="AD32" s="3">
        <f t="shared" si="9"/>
        <v>160452.08751584965</v>
      </c>
      <c r="AE32" s="3">
        <f t="shared" si="9"/>
        <v>162697.42710925304</v>
      </c>
      <c r="AF32" s="3">
        <f t="shared" si="9"/>
        <v>159598.08331397921</v>
      </c>
      <c r="AG32" s="3">
        <f t="shared" si="9"/>
        <v>173912.09184821846</v>
      </c>
      <c r="AH32" s="3">
        <f t="shared" si="9"/>
        <v>170009.2613062404</v>
      </c>
      <c r="AI32" s="3">
        <f t="shared" si="9"/>
        <v>191432.15639187684</v>
      </c>
      <c r="AJ32" s="3">
        <f t="shared" si="9"/>
        <v>166233.39895873101</v>
      </c>
      <c r="AK32" s="3">
        <f t="shared" si="9"/>
        <v>169087.27911460903</v>
      </c>
      <c r="AL32" s="3">
        <f t="shared" si="9"/>
        <v>160633.25614053608</v>
      </c>
      <c r="AM32" s="3">
        <f t="shared" si="9"/>
        <v>172062.05934676016</v>
      </c>
      <c r="AN32" s="3">
        <f t="shared" si="9"/>
        <v>179209.43010250182</v>
      </c>
      <c r="AO32" s="3">
        <f t="shared" si="9"/>
        <v>178726.2673261482</v>
      </c>
      <c r="AP32" s="3">
        <f t="shared" si="9"/>
        <v>203779.75787888962</v>
      </c>
      <c r="AQ32" s="3">
        <f t="shared" si="9"/>
        <v>227210.37254985768</v>
      </c>
      <c r="AR32" s="3">
        <f t="shared" si="9"/>
        <v>226317.72550005978</v>
      </c>
      <c r="AS32" s="3">
        <f t="shared" si="9"/>
        <v>227286.20799734967</v>
      </c>
      <c r="AT32" s="3">
        <f t="shared" si="9"/>
        <v>238974.98931684927</v>
      </c>
      <c r="AU32" s="3">
        <f t="shared" si="9"/>
        <v>263726.92792323057</v>
      </c>
      <c r="AV32" s="3">
        <f>SUM(AV33:AV36)</f>
        <v>314337.24319827888</v>
      </c>
      <c r="AW32" s="3">
        <f>SUM(AW33:AW36)</f>
        <v>326062.41483329062</v>
      </c>
      <c r="AX32" s="3">
        <f>SUM(AX33:AX36)</f>
        <v>314852.78456419479</v>
      </c>
      <c r="AY32" s="3">
        <f>SUM(AY33:AY36)</f>
        <v>363122.09917023289</v>
      </c>
    </row>
    <row r="33" spans="1:51" s="28" customFormat="1">
      <c r="A33" s="31" t="s">
        <v>21</v>
      </c>
      <c r="B33" s="32"/>
      <c r="C33" s="2"/>
      <c r="D33" s="2"/>
      <c r="E33" s="2"/>
      <c r="F33" s="32"/>
      <c r="G33" s="32"/>
      <c r="H33" s="2"/>
      <c r="I33" s="2"/>
      <c r="J33" s="2"/>
      <c r="K33" s="32"/>
      <c r="L33" s="33"/>
      <c r="M33" s="33"/>
      <c r="N33" s="33"/>
      <c r="O33" s="2"/>
      <c r="P33" s="32"/>
      <c r="Q33" s="32"/>
      <c r="R33" s="32"/>
      <c r="S33" s="32">
        <v>413.53174710680742</v>
      </c>
      <c r="T33" s="32">
        <v>431.11255217362435</v>
      </c>
      <c r="U33" s="32">
        <v>443.14154821251782</v>
      </c>
      <c r="V33" s="32">
        <v>427.90374014737802</v>
      </c>
      <c r="W33" s="32">
        <v>468.75111938645688</v>
      </c>
      <c r="X33" s="32">
        <v>449.76073744510705</v>
      </c>
      <c r="Y33" s="32">
        <v>452.67035884709412</v>
      </c>
      <c r="Z33" s="32">
        <v>451.98805354115342</v>
      </c>
      <c r="AA33" s="32">
        <v>450.43415008367566</v>
      </c>
      <c r="AB33" s="32">
        <v>452.75574227773126</v>
      </c>
      <c r="AC33" s="32">
        <v>454.60985274786827</v>
      </c>
      <c r="AD33" s="32">
        <v>452.25482109271337</v>
      </c>
      <c r="AE33" s="32">
        <v>448.54964696093543</v>
      </c>
      <c r="AF33" s="32">
        <v>440.99218452627468</v>
      </c>
      <c r="AG33" s="32">
        <v>434.52125985718561</v>
      </c>
      <c r="AH33" s="32">
        <v>440.89611405499659</v>
      </c>
      <c r="AI33" s="32">
        <v>435.95956668621812</v>
      </c>
      <c r="AJ33" s="32">
        <v>445.31538098792157</v>
      </c>
      <c r="AK33" s="32">
        <v>440.21727625260803</v>
      </c>
      <c r="AL33" s="32">
        <v>9.882088E-2</v>
      </c>
      <c r="AM33" s="32"/>
      <c r="AN33" s="32"/>
      <c r="AO33" s="32"/>
      <c r="AP33" s="32"/>
      <c r="AQ33" s="32">
        <v>0</v>
      </c>
      <c r="AR33" s="32">
        <v>390.03186833999996</v>
      </c>
      <c r="AS33" s="32">
        <v>363.33253274000003</v>
      </c>
      <c r="AT33" s="32">
        <v>1.0933894799999999</v>
      </c>
      <c r="AU33" s="32">
        <v>17.345837849999999</v>
      </c>
      <c r="AV33" s="32">
        <v>30.959387849999999</v>
      </c>
      <c r="AW33" s="32">
        <v>29.285082939999999</v>
      </c>
      <c r="AX33" s="32">
        <v>19.882983120000002</v>
      </c>
      <c r="AY33" s="32">
        <v>4.1266370000000004E-2</v>
      </c>
    </row>
    <row r="34" spans="1:51" s="28" customFormat="1">
      <c r="A34" s="31" t="s">
        <v>22</v>
      </c>
      <c r="B34" s="32"/>
      <c r="C34" s="2"/>
      <c r="D34" s="2"/>
      <c r="E34" s="2"/>
      <c r="F34" s="32"/>
      <c r="G34" s="32"/>
      <c r="H34" s="2"/>
      <c r="I34" s="2"/>
      <c r="J34" s="2"/>
      <c r="K34" s="32"/>
      <c r="L34" s="33"/>
      <c r="M34" s="33"/>
      <c r="N34" s="33"/>
      <c r="O34" s="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1:51" s="28" customFormat="1">
      <c r="A35" s="31" t="s">
        <v>23</v>
      </c>
      <c r="B35" s="2">
        <v>28802.3</v>
      </c>
      <c r="C35" s="2">
        <v>26877.7</v>
      </c>
      <c r="D35" s="2">
        <v>27928.3</v>
      </c>
      <c r="E35" s="2">
        <v>30409.3</v>
      </c>
      <c r="F35" s="2">
        <v>29636.6</v>
      </c>
      <c r="G35" s="2">
        <v>36808.300000000003</v>
      </c>
      <c r="H35" s="2">
        <v>36997.1</v>
      </c>
      <c r="I35" s="2">
        <v>34922</v>
      </c>
      <c r="J35" s="2">
        <v>31689.3</v>
      </c>
      <c r="K35" s="2">
        <v>34932.9</v>
      </c>
      <c r="L35" s="2">
        <v>37744.199999999997</v>
      </c>
      <c r="M35" s="2">
        <v>43360.383602387228</v>
      </c>
      <c r="N35" s="2">
        <v>65221.5</v>
      </c>
      <c r="O35" s="2">
        <v>62087.1</v>
      </c>
      <c r="P35" s="2">
        <v>72694.5</v>
      </c>
      <c r="Q35" s="2">
        <v>74086.5</v>
      </c>
      <c r="R35" s="2">
        <v>78209.8</v>
      </c>
      <c r="S35" s="2">
        <v>171510.26349686368</v>
      </c>
      <c r="T35" s="2">
        <v>130063.32046098405</v>
      </c>
      <c r="U35" s="2">
        <v>134381.86640796182</v>
      </c>
      <c r="V35" s="2">
        <v>157632.4982193397</v>
      </c>
      <c r="W35" s="2">
        <v>164327.77460228655</v>
      </c>
      <c r="X35" s="2">
        <v>147895.8182376792</v>
      </c>
      <c r="Y35" s="2">
        <v>148032.10274254082</v>
      </c>
      <c r="Z35" s="2">
        <v>156481.68621165867</v>
      </c>
      <c r="AA35" s="2">
        <v>143578.94442790098</v>
      </c>
      <c r="AB35" s="2">
        <v>148952.98614060672</v>
      </c>
      <c r="AC35" s="2">
        <v>154744.62923834639</v>
      </c>
      <c r="AD35" s="2">
        <v>150423.2992714438</v>
      </c>
      <c r="AE35" s="2">
        <v>150333.30494808542</v>
      </c>
      <c r="AF35" s="2">
        <v>147986.54683971789</v>
      </c>
      <c r="AG35" s="2">
        <v>164486.16856956278</v>
      </c>
      <c r="AH35" s="2">
        <v>159934.60310765929</v>
      </c>
      <c r="AI35" s="2">
        <v>179538.38464627074</v>
      </c>
      <c r="AJ35" s="2">
        <v>156032.93289780192</v>
      </c>
      <c r="AK35" s="2">
        <v>152590.85050867163</v>
      </c>
      <c r="AL35" s="2">
        <v>154407.47221142857</v>
      </c>
      <c r="AM35" s="2">
        <v>165720.46867121599</v>
      </c>
      <c r="AN35" s="2">
        <v>173651.70794791082</v>
      </c>
      <c r="AO35" s="2">
        <v>172524.82793538042</v>
      </c>
      <c r="AP35" s="2">
        <v>199420.022538775</v>
      </c>
      <c r="AQ35" s="2">
        <v>223731.89893454584</v>
      </c>
      <c r="AR35" s="2">
        <v>220692.13824356187</v>
      </c>
      <c r="AS35" s="2">
        <v>213979.69800952909</v>
      </c>
      <c r="AT35" s="2">
        <v>234947.00850423664</v>
      </c>
      <c r="AU35" s="2">
        <v>255918.73191761831</v>
      </c>
      <c r="AV35" s="2">
        <v>308955.27512481494</v>
      </c>
      <c r="AW35" s="2">
        <v>319404.61827381031</v>
      </c>
      <c r="AX35" s="2">
        <v>310053.31352663098</v>
      </c>
      <c r="AY35" s="2">
        <v>357796.92076445487</v>
      </c>
    </row>
    <row r="36" spans="1:51" s="28" customFormat="1">
      <c r="A36" s="31" t="s">
        <v>35</v>
      </c>
      <c r="B36" s="2">
        <v>3433.1</v>
      </c>
      <c r="C36" s="2">
        <v>3887.9</v>
      </c>
      <c r="D36" s="2">
        <v>8347.4</v>
      </c>
      <c r="E36" s="2">
        <v>5412.9</v>
      </c>
      <c r="F36" s="2">
        <v>10210.9</v>
      </c>
      <c r="G36" s="2">
        <v>20205.2</v>
      </c>
      <c r="H36" s="2">
        <v>12841</v>
      </c>
      <c r="I36" s="2">
        <v>11930.3</v>
      </c>
      <c r="J36" s="2">
        <v>15241.7</v>
      </c>
      <c r="K36" s="2">
        <v>13542.5</v>
      </c>
      <c r="L36" s="2">
        <v>19348.599999999999</v>
      </c>
      <c r="M36" s="2">
        <v>12326.171834069859</v>
      </c>
      <c r="N36" s="2">
        <v>19996</v>
      </c>
      <c r="O36" s="2">
        <v>17208.2</v>
      </c>
      <c r="P36" s="2">
        <v>14637.9</v>
      </c>
      <c r="Q36" s="2">
        <v>14522.5</v>
      </c>
      <c r="R36" s="2">
        <v>4718</v>
      </c>
      <c r="S36" s="2">
        <v>5321.1572149991516</v>
      </c>
      <c r="T36" s="2">
        <v>5166.4208096267048</v>
      </c>
      <c r="U36" s="2">
        <v>7548.3739023510007</v>
      </c>
      <c r="V36" s="2">
        <v>6816.7007455528492</v>
      </c>
      <c r="W36" s="2">
        <v>8008.984313153489</v>
      </c>
      <c r="X36" s="2">
        <v>8112.1899751918445</v>
      </c>
      <c r="Y36" s="2">
        <v>8106.93868355013</v>
      </c>
      <c r="Z36" s="2">
        <v>7040.5934911256691</v>
      </c>
      <c r="AA36" s="2">
        <v>9294.2745988663519</v>
      </c>
      <c r="AB36" s="2">
        <v>7871.5600667011222</v>
      </c>
      <c r="AC36" s="2">
        <v>8794.7362087117672</v>
      </c>
      <c r="AD36" s="2">
        <v>9576.5334233131416</v>
      </c>
      <c r="AE36" s="2">
        <v>11915.572514206673</v>
      </c>
      <c r="AF36" s="2">
        <v>11170.54428973504</v>
      </c>
      <c r="AG36" s="2">
        <v>8991.4020187984715</v>
      </c>
      <c r="AH36" s="2">
        <v>9633.7620845260826</v>
      </c>
      <c r="AI36" s="2">
        <v>11457.812178919867</v>
      </c>
      <c r="AJ36" s="2">
        <v>9755.1506799411618</v>
      </c>
      <c r="AK36" s="2">
        <v>16056.211329684795</v>
      </c>
      <c r="AL36" s="2">
        <v>6225.685108227508</v>
      </c>
      <c r="AM36" s="2">
        <v>6341.5906755441692</v>
      </c>
      <c r="AN36" s="2">
        <v>5557.7221545909906</v>
      </c>
      <c r="AO36" s="2">
        <v>6201.4393907677604</v>
      </c>
      <c r="AP36" s="2">
        <v>4359.7353401146156</v>
      </c>
      <c r="AQ36" s="2">
        <v>3478.4736153118379</v>
      </c>
      <c r="AR36" s="2">
        <v>5235.5553881578917</v>
      </c>
      <c r="AS36" s="2">
        <v>12943.177455080579</v>
      </c>
      <c r="AT36" s="2">
        <v>4026.8874231326304</v>
      </c>
      <c r="AU36" s="2">
        <v>7790.8501677622526</v>
      </c>
      <c r="AV36" s="2">
        <v>5351.0086856139405</v>
      </c>
      <c r="AW36" s="2">
        <v>6628.5114765403196</v>
      </c>
      <c r="AX36" s="2">
        <v>4779.5880544438396</v>
      </c>
      <c r="AY36" s="2">
        <v>5325.1371394080352</v>
      </c>
    </row>
    <row r="37" spans="1:51" s="28" customFormat="1">
      <c r="A37" s="31"/>
      <c r="B37" s="32"/>
      <c r="C37" s="2"/>
      <c r="D37" s="2"/>
      <c r="E37" s="2"/>
      <c r="F37" s="32"/>
      <c r="G37" s="32"/>
      <c r="H37" s="2"/>
      <c r="I37" s="2"/>
      <c r="J37" s="2"/>
      <c r="K37" s="32"/>
      <c r="L37" s="33"/>
      <c r="M37" s="33"/>
      <c r="N37" s="33"/>
      <c r="O37" s="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row>
    <row r="38" spans="1:51" s="28" customFormat="1">
      <c r="A38" s="29" t="s">
        <v>8</v>
      </c>
      <c r="B38" s="2">
        <f t="shared" ref="B38:AU38" si="10">SUM(B39:B42)</f>
        <v>142402.5</v>
      </c>
      <c r="C38" s="2">
        <f t="shared" si="10"/>
        <v>137941.20000000001</v>
      </c>
      <c r="D38" s="2">
        <f t="shared" si="10"/>
        <v>160639.5</v>
      </c>
      <c r="E38" s="2">
        <f t="shared" si="10"/>
        <v>162705.90000000002</v>
      </c>
      <c r="F38" s="2">
        <f t="shared" si="10"/>
        <v>148649.79999999999</v>
      </c>
      <c r="G38" s="2">
        <f t="shared" si="10"/>
        <v>137153.9</v>
      </c>
      <c r="H38" s="2">
        <f t="shared" si="10"/>
        <v>140548.5</v>
      </c>
      <c r="I38" s="2">
        <f t="shared" si="10"/>
        <v>166286.79999999999</v>
      </c>
      <c r="J38" s="2">
        <f t="shared" si="10"/>
        <v>171461.2</v>
      </c>
      <c r="K38" s="2">
        <f t="shared" si="10"/>
        <v>172122.3</v>
      </c>
      <c r="L38" s="2">
        <f t="shared" si="10"/>
        <v>191064.4</v>
      </c>
      <c r="M38" s="2">
        <f t="shared" si="10"/>
        <v>178966.00452210603</v>
      </c>
      <c r="N38" s="2">
        <f t="shared" si="10"/>
        <v>161806.39999999999</v>
      </c>
      <c r="O38" s="2">
        <f t="shared" si="10"/>
        <v>181534</v>
      </c>
      <c r="P38" s="2">
        <f t="shared" si="10"/>
        <v>194502.39999999999</v>
      </c>
      <c r="Q38" s="2">
        <f t="shared" si="10"/>
        <v>193765.59999999998</v>
      </c>
      <c r="R38" s="2">
        <f t="shared" si="10"/>
        <v>201601.9</v>
      </c>
      <c r="S38" s="2">
        <f t="shared" si="10"/>
        <v>129096.53343542617</v>
      </c>
      <c r="T38" s="2">
        <f t="shared" si="10"/>
        <v>141773.91214162434</v>
      </c>
      <c r="U38" s="2">
        <f t="shared" si="10"/>
        <v>160759.58358629962</v>
      </c>
      <c r="V38" s="2">
        <f t="shared" si="10"/>
        <v>161122.47615109911</v>
      </c>
      <c r="W38" s="2">
        <f t="shared" si="10"/>
        <v>157480.79607782961</v>
      </c>
      <c r="X38" s="2">
        <f t="shared" si="10"/>
        <v>132548.2345159011</v>
      </c>
      <c r="Y38" s="2">
        <f t="shared" si="10"/>
        <v>126305.26702049468</v>
      </c>
      <c r="Z38" s="2">
        <f t="shared" si="10"/>
        <v>117415.16691426704</v>
      </c>
      <c r="AA38" s="2">
        <f t="shared" si="10"/>
        <v>142298.15895189976</v>
      </c>
      <c r="AB38" s="2">
        <f t="shared" si="10"/>
        <v>133985.98993092988</v>
      </c>
      <c r="AC38" s="2">
        <f t="shared" si="10"/>
        <v>116686.80144375598</v>
      </c>
      <c r="AD38" s="2">
        <f t="shared" si="10"/>
        <v>131013.49935864416</v>
      </c>
      <c r="AE38" s="2">
        <f t="shared" si="10"/>
        <v>132868.67720307148</v>
      </c>
      <c r="AF38" s="2">
        <f t="shared" si="10"/>
        <v>119251.4657781431</v>
      </c>
      <c r="AG38" s="2">
        <f t="shared" si="10"/>
        <v>101465.07254322343</v>
      </c>
      <c r="AH38" s="2">
        <f t="shared" si="10"/>
        <v>104990.27028714312</v>
      </c>
      <c r="AI38" s="2">
        <f t="shared" si="10"/>
        <v>115352.73036063006</v>
      </c>
      <c r="AJ38" s="2">
        <f t="shared" si="10"/>
        <v>114720.65075157542</v>
      </c>
      <c r="AK38" s="2">
        <f t="shared" si="10"/>
        <v>124455.42878613608</v>
      </c>
      <c r="AL38" s="2">
        <f t="shared" si="10"/>
        <v>146811.90905548265</v>
      </c>
      <c r="AM38" s="2">
        <f t="shared" si="10"/>
        <v>146518.01624154087</v>
      </c>
      <c r="AN38" s="2">
        <f t="shared" si="10"/>
        <v>152081.00907427864</v>
      </c>
      <c r="AO38" s="2">
        <f t="shared" si="10"/>
        <v>167850.78334532352</v>
      </c>
      <c r="AP38" s="2">
        <f t="shared" si="10"/>
        <v>170061.58771782773</v>
      </c>
      <c r="AQ38" s="2">
        <f t="shared" si="10"/>
        <v>161865.51764399788</v>
      </c>
      <c r="AR38" s="2">
        <f t="shared" si="10"/>
        <v>172460.42765289987</v>
      </c>
      <c r="AS38" s="2">
        <f t="shared" si="10"/>
        <v>149882.88478188793</v>
      </c>
      <c r="AT38" s="2">
        <f t="shared" si="10"/>
        <v>141160.2495508568</v>
      </c>
      <c r="AU38" s="2">
        <f t="shared" si="10"/>
        <v>149861.59576061208</v>
      </c>
      <c r="AV38" s="2">
        <f>SUM(AV39:AV42)</f>
        <v>149985.10839840112</v>
      </c>
      <c r="AW38" s="2">
        <f>SUM(AW39:AW42)</f>
        <v>121089.57214209193</v>
      </c>
      <c r="AX38" s="2">
        <f>SUM(AX39:AX42)</f>
        <v>147042.35756456491</v>
      </c>
      <c r="AY38" s="2">
        <f>SUM(AY39:AY42)</f>
        <v>161224.06372958358</v>
      </c>
    </row>
    <row r="39" spans="1:51" s="28" customFormat="1">
      <c r="A39" s="31" t="s">
        <v>24</v>
      </c>
      <c r="B39" s="2">
        <v>172</v>
      </c>
      <c r="C39" s="2">
        <v>0</v>
      </c>
      <c r="D39" s="2">
        <v>0</v>
      </c>
      <c r="E39" s="2">
        <v>0</v>
      </c>
      <c r="F39" s="2">
        <v>239</v>
      </c>
      <c r="G39" s="2">
        <v>0</v>
      </c>
      <c r="H39" s="2">
        <v>265.8</v>
      </c>
      <c r="I39" s="2">
        <v>5689</v>
      </c>
      <c r="J39" s="2">
        <v>6507.4</v>
      </c>
      <c r="K39" s="2">
        <v>6634.5</v>
      </c>
      <c r="L39" s="2">
        <v>6968.4</v>
      </c>
      <c r="M39" s="2">
        <v>6798.5890322882988</v>
      </c>
      <c r="N39" s="2">
        <v>6886.9</v>
      </c>
      <c r="O39" s="2">
        <v>7009.8</v>
      </c>
      <c r="P39" s="2">
        <v>8258.4</v>
      </c>
      <c r="Q39" s="2">
        <v>8353.7999999999993</v>
      </c>
      <c r="R39" s="2">
        <v>8216.5</v>
      </c>
      <c r="S39" s="2">
        <v>7857.1031950293409</v>
      </c>
      <c r="T39" s="2">
        <v>8191.1384912988615</v>
      </c>
      <c r="U39" s="2">
        <v>8419.6894160378379</v>
      </c>
      <c r="V39" s="2">
        <v>8130.1710628001811</v>
      </c>
      <c r="W39" s="2">
        <v>8906.2712683426798</v>
      </c>
      <c r="X39" s="2">
        <v>8545.4540114570336</v>
      </c>
      <c r="Y39" s="2">
        <v>8600.7368180947888</v>
      </c>
      <c r="Z39" s="2">
        <v>8587.7730172819138</v>
      </c>
      <c r="AA39" s="2">
        <v>8558.2488515898367</v>
      </c>
      <c r="AB39" s="2">
        <v>8602.3591032768927</v>
      </c>
      <c r="AC39" s="2">
        <v>8637.5872022094973</v>
      </c>
      <c r="AD39" s="2">
        <v>8592.8416007615524</v>
      </c>
      <c r="AE39" s="2">
        <v>8522.4432922577726</v>
      </c>
      <c r="AF39" s="2">
        <v>8378.8515059992187</v>
      </c>
      <c r="AG39" s="2">
        <v>8255.9039372865263</v>
      </c>
      <c r="AH39" s="2">
        <v>8377.0261670449345</v>
      </c>
      <c r="AI39" s="2">
        <v>8283.2317670381435</v>
      </c>
      <c r="AJ39" s="2">
        <v>8460.9922387705083</v>
      </c>
      <c r="AK39" s="2">
        <v>8364.1282487995522</v>
      </c>
      <c r="AL39" s="2">
        <v>8697.6390046508404</v>
      </c>
      <c r="AM39" s="2">
        <v>12840.596252694504</v>
      </c>
      <c r="AN39" s="2">
        <v>13170.244143004977</v>
      </c>
      <c r="AO39" s="2">
        <v>13273.497173441923</v>
      </c>
      <c r="AP39" s="2">
        <v>14982.715862470468</v>
      </c>
      <c r="AQ39" s="2">
        <v>14141.005382513298</v>
      </c>
      <c r="AR39" s="2">
        <v>14549.883986442283</v>
      </c>
      <c r="AS39" s="2">
        <v>14362.82247765178</v>
      </c>
      <c r="AT39" s="2">
        <v>14216.207487801037</v>
      </c>
      <c r="AU39" s="2">
        <v>14247.410658874824</v>
      </c>
      <c r="AV39" s="2">
        <v>14891.004178441859</v>
      </c>
      <c r="AW39" s="2">
        <v>14579.885815729187</v>
      </c>
      <c r="AX39" s="2">
        <v>14605.057456509905</v>
      </c>
      <c r="AY39" s="2">
        <v>14626.23734634251</v>
      </c>
    </row>
    <row r="40" spans="1:51" s="28" customFormat="1">
      <c r="A40" s="31" t="s">
        <v>18</v>
      </c>
      <c r="B40" s="2">
        <v>91208.2</v>
      </c>
      <c r="C40" s="2">
        <v>90598.2</v>
      </c>
      <c r="D40" s="2">
        <v>109559.9</v>
      </c>
      <c r="E40" s="2">
        <v>111339.1</v>
      </c>
      <c r="F40" s="2">
        <v>100295.7</v>
      </c>
      <c r="G40" s="2">
        <v>92845.7</v>
      </c>
      <c r="H40" s="2">
        <v>95858.4</v>
      </c>
      <c r="I40" s="2">
        <v>115984.9</v>
      </c>
      <c r="J40" s="2">
        <v>122206.1</v>
      </c>
      <c r="K40" s="2">
        <v>113764.1</v>
      </c>
      <c r="L40" s="2">
        <v>120273.1</v>
      </c>
      <c r="M40" s="2">
        <v>120094.10140694842</v>
      </c>
      <c r="N40" s="2">
        <v>101920</v>
      </c>
      <c r="O40" s="2">
        <v>88646.399999999994</v>
      </c>
      <c r="P40" s="2">
        <v>105600.5</v>
      </c>
      <c r="Q40" s="2">
        <v>99574.9</v>
      </c>
      <c r="R40" s="2">
        <v>97304.7</v>
      </c>
      <c r="S40" s="2">
        <v>112212.57426687768</v>
      </c>
      <c r="T40" s="2">
        <v>126737.3357313263</v>
      </c>
      <c r="U40" s="2">
        <v>145267.1643593164</v>
      </c>
      <c r="V40" s="2">
        <v>144695.85781359681</v>
      </c>
      <c r="W40" s="2">
        <v>139925.69456726132</v>
      </c>
      <c r="X40" s="2">
        <v>116218.79007088198</v>
      </c>
      <c r="Y40" s="2">
        <v>109913.36690016089</v>
      </c>
      <c r="Z40" s="2">
        <v>100591.51567531886</v>
      </c>
      <c r="AA40" s="2">
        <v>126183.12355147301</v>
      </c>
      <c r="AB40" s="2">
        <v>117543.99997814736</v>
      </c>
      <c r="AC40" s="2">
        <v>99904.760071107172</v>
      </c>
      <c r="AD40" s="2">
        <v>114503.64200675396</v>
      </c>
      <c r="AE40" s="2">
        <v>116433.95470301974</v>
      </c>
      <c r="AF40" s="2">
        <v>103083.84864900082</v>
      </c>
      <c r="AG40" s="2">
        <v>84552.001839117802</v>
      </c>
      <c r="AH40" s="2">
        <v>88195.63343022138</v>
      </c>
      <c r="AI40" s="2">
        <v>97620.10992799871</v>
      </c>
      <c r="AJ40" s="2">
        <v>98047.398886604802</v>
      </c>
      <c r="AK40" s="2">
        <v>108060.20314214329</v>
      </c>
      <c r="AL40" s="2">
        <v>117181.70364124158</v>
      </c>
      <c r="AM40" s="2">
        <v>114425.00817240847</v>
      </c>
      <c r="AN40" s="2">
        <v>117623.40704477117</v>
      </c>
      <c r="AO40" s="2">
        <v>128609.03515424748</v>
      </c>
      <c r="AP40" s="2">
        <v>128945.72366790938</v>
      </c>
      <c r="AQ40" s="2">
        <v>123178.14209148556</v>
      </c>
      <c r="AR40" s="2">
        <v>134356.21516425879</v>
      </c>
      <c r="AS40" s="2">
        <v>112160.65732255968</v>
      </c>
      <c r="AT40" s="2">
        <v>107783.65112002588</v>
      </c>
      <c r="AU40" s="2">
        <v>117660.48605633459</v>
      </c>
      <c r="AV40" s="2">
        <v>116989.41049815022</v>
      </c>
      <c r="AW40" s="2">
        <v>89240.959571667903</v>
      </c>
      <c r="AX40" s="2">
        <v>115771.32110548479</v>
      </c>
      <c r="AY40" s="2">
        <v>125051.64800931567</v>
      </c>
    </row>
    <row r="41" spans="1:51" s="28" customFormat="1">
      <c r="A41" s="31" t="s">
        <v>19</v>
      </c>
      <c r="B41" s="2">
        <v>51022.3</v>
      </c>
      <c r="C41" s="2">
        <v>47343</v>
      </c>
      <c r="D41" s="2">
        <v>51079.6</v>
      </c>
      <c r="E41" s="2">
        <v>51366.8</v>
      </c>
      <c r="F41" s="2">
        <v>48115.1</v>
      </c>
      <c r="G41" s="2">
        <v>44308.2</v>
      </c>
      <c r="H41" s="2">
        <v>44424.3</v>
      </c>
      <c r="I41" s="2">
        <v>44612.9</v>
      </c>
      <c r="J41" s="2">
        <v>42747.7</v>
      </c>
      <c r="K41" s="2">
        <v>51723.7</v>
      </c>
      <c r="L41" s="2">
        <v>63822.9</v>
      </c>
      <c r="M41" s="2">
        <v>52073.314082869314</v>
      </c>
      <c r="N41" s="2">
        <v>52999.5</v>
      </c>
      <c r="O41" s="2">
        <v>85877.8</v>
      </c>
      <c r="P41" s="2">
        <v>80643.5</v>
      </c>
      <c r="Q41" s="2">
        <v>85836.9</v>
      </c>
      <c r="R41" s="2">
        <v>96080.7</v>
      </c>
      <c r="S41" s="2">
        <v>9026.855973519152</v>
      </c>
      <c r="T41" s="2">
        <v>6845.4379189991741</v>
      </c>
      <c r="U41" s="2">
        <v>7072.7298109453695</v>
      </c>
      <c r="V41" s="2">
        <v>8296.4472747021064</v>
      </c>
      <c r="W41" s="2">
        <v>8648.8302422256093</v>
      </c>
      <c r="X41" s="2">
        <v>7783.9904335620813</v>
      </c>
      <c r="Y41" s="2">
        <v>7791.1633022390015</v>
      </c>
      <c r="Z41" s="2">
        <v>8235.8782216662657</v>
      </c>
      <c r="AA41" s="2">
        <v>7556.7865488369134</v>
      </c>
      <c r="AB41" s="2">
        <v>7839.6308495056292</v>
      </c>
      <c r="AC41" s="2">
        <v>8144.454170439305</v>
      </c>
      <c r="AD41" s="2">
        <v>7917.0157511286379</v>
      </c>
      <c r="AE41" s="2">
        <v>7912.2792077939666</v>
      </c>
      <c r="AF41" s="2">
        <v>7788.7656231430592</v>
      </c>
      <c r="AG41" s="2">
        <v>8657.1667668191076</v>
      </c>
      <c r="AH41" s="2">
        <v>8417.6106898768048</v>
      </c>
      <c r="AI41" s="2">
        <v>9449.3886655932001</v>
      </c>
      <c r="AJ41" s="2">
        <v>8212.2596262001025</v>
      </c>
      <c r="AK41" s="2">
        <v>8031.0973951932392</v>
      </c>
      <c r="AL41" s="2">
        <v>20932.566409590225</v>
      </c>
      <c r="AM41" s="2">
        <v>19252.411816437878</v>
      </c>
      <c r="AN41" s="2">
        <v>21287.35788650249</v>
      </c>
      <c r="AO41" s="2">
        <v>25968.251017634124</v>
      </c>
      <c r="AP41" s="2">
        <v>26133.1481874479</v>
      </c>
      <c r="AQ41" s="2">
        <v>24546.370169999023</v>
      </c>
      <c r="AR41" s="2">
        <v>23554.328502198794</v>
      </c>
      <c r="AS41" s="2">
        <v>23359.404981676489</v>
      </c>
      <c r="AT41" s="2">
        <v>19160.390943029885</v>
      </c>
      <c r="AU41" s="2">
        <v>17953.699045402671</v>
      </c>
      <c r="AV41" s="2">
        <v>18104.693721809042</v>
      </c>
      <c r="AW41" s="2">
        <v>17268.726754694842</v>
      </c>
      <c r="AX41" s="2">
        <v>16665.97900257022</v>
      </c>
      <c r="AY41" s="2">
        <v>21546.178373925391</v>
      </c>
    </row>
    <row r="42" spans="1:51" s="28" customFormat="1">
      <c r="A42" s="31" t="s">
        <v>25</v>
      </c>
      <c r="B42" s="32"/>
      <c r="C42" s="2"/>
      <c r="D42" s="2"/>
      <c r="E42" s="2"/>
      <c r="F42" s="32"/>
      <c r="G42" s="32"/>
      <c r="H42" s="2"/>
      <c r="I42" s="2"/>
      <c r="J42" s="2"/>
      <c r="K42" s="32"/>
      <c r="L42" s="33"/>
      <c r="M42" s="33"/>
      <c r="N42" s="33"/>
      <c r="O42" s="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row>
    <row r="43" spans="1:51" s="28" customFormat="1">
      <c r="A43" s="31"/>
      <c r="B43" s="32"/>
      <c r="C43" s="32"/>
      <c r="D43" s="32"/>
      <c r="E43" s="32"/>
      <c r="F43" s="32"/>
      <c r="G43" s="32"/>
      <c r="H43" s="32"/>
      <c r="I43" s="32"/>
      <c r="J43" s="32"/>
      <c r="K43" s="32"/>
      <c r="L43" s="33"/>
      <c r="M43" s="33"/>
      <c r="N43" s="33"/>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row>
    <row r="44" spans="1:51" s="28" customFormat="1">
      <c r="A44" s="26" t="s">
        <v>47</v>
      </c>
      <c r="B44" s="26">
        <f t="shared" ref="B44:N44" si="11">B45+B52</f>
        <v>4197716</v>
      </c>
      <c r="C44" s="26">
        <f t="shared" si="11"/>
        <v>4249452</v>
      </c>
      <c r="D44" s="26">
        <f t="shared" si="11"/>
        <v>4307066</v>
      </c>
      <c r="E44" s="26">
        <f t="shared" si="11"/>
        <v>4413157</v>
      </c>
      <c r="F44" s="26">
        <f t="shared" si="11"/>
        <v>5160096</v>
      </c>
      <c r="G44" s="26">
        <f t="shared" si="11"/>
        <v>6111112.3573686667</v>
      </c>
      <c r="H44" s="26">
        <f t="shared" si="11"/>
        <v>6193120.8573686667</v>
      </c>
      <c r="I44" s="26">
        <f t="shared" si="11"/>
        <v>6316768.7373686675</v>
      </c>
      <c r="J44" s="26">
        <f t="shared" si="11"/>
        <v>6558401</v>
      </c>
      <c r="K44" s="26">
        <f t="shared" si="11"/>
        <v>6650779.8040000005</v>
      </c>
      <c r="L44" s="26">
        <f t="shared" si="11"/>
        <v>6742971.608</v>
      </c>
      <c r="M44" s="26">
        <f t="shared" si="11"/>
        <v>6835666.4120000005</v>
      </c>
      <c r="N44" s="26">
        <f t="shared" si="11"/>
        <v>6928596</v>
      </c>
      <c r="O44" s="26">
        <f>O45+O52</f>
        <v>6666501.7830593726</v>
      </c>
      <c r="P44" s="26">
        <f t="shared" ref="P44:AU44" si="12">P45+P52</f>
        <v>5884622.7542800838</v>
      </c>
      <c r="Q44" s="26">
        <f t="shared" si="12"/>
        <v>5645874.073351006</v>
      </c>
      <c r="R44" s="26">
        <f t="shared" si="12"/>
        <v>5274875.7876366908</v>
      </c>
      <c r="S44" s="26">
        <f t="shared" si="12"/>
        <v>5045567.2192461668</v>
      </c>
      <c r="T44" s="26">
        <f t="shared" si="12"/>
        <v>4738673.1959740911</v>
      </c>
      <c r="U44" s="26">
        <f t="shared" si="12"/>
        <v>4627460.272787082</v>
      </c>
      <c r="V44" s="26">
        <f t="shared" si="12"/>
        <v>4304067.3288329542</v>
      </c>
      <c r="W44" s="26">
        <f t="shared" si="12"/>
        <v>5145553.3072992917</v>
      </c>
      <c r="X44" s="26">
        <f t="shared" si="12"/>
        <v>5171471.6578792091</v>
      </c>
      <c r="Y44" s="26">
        <f t="shared" si="12"/>
        <v>5673611.0773622366</v>
      </c>
      <c r="Z44" s="26">
        <f t="shared" si="12"/>
        <v>6160697.3152029766</v>
      </c>
      <c r="AA44" s="26">
        <f t="shared" si="12"/>
        <v>6207184.0344607187</v>
      </c>
      <c r="AB44" s="26">
        <f t="shared" si="12"/>
        <v>6389099.0279281549</v>
      </c>
      <c r="AC44" s="26">
        <f t="shared" si="12"/>
        <v>6664247.7409401275</v>
      </c>
      <c r="AD44" s="26">
        <f t="shared" si="12"/>
        <v>6721041.6762732109</v>
      </c>
      <c r="AE44" s="26">
        <f t="shared" si="12"/>
        <v>6908579.8956276337</v>
      </c>
      <c r="AF44" s="26">
        <f t="shared" si="12"/>
        <v>7045138.8364150478</v>
      </c>
      <c r="AG44" s="26">
        <f t="shared" si="12"/>
        <v>7164754.9750798978</v>
      </c>
      <c r="AH44" s="26">
        <f t="shared" si="12"/>
        <v>7373727.9111974761</v>
      </c>
      <c r="AI44" s="26">
        <f t="shared" si="12"/>
        <v>7356434.4409698909</v>
      </c>
      <c r="AJ44" s="26">
        <f t="shared" si="12"/>
        <v>7692045.242818322</v>
      </c>
      <c r="AK44" s="26">
        <f t="shared" si="12"/>
        <v>7662410.8758782456</v>
      </c>
      <c r="AL44" s="26">
        <f t="shared" si="12"/>
        <v>7734898.6131043416</v>
      </c>
      <c r="AM44" s="26">
        <f t="shared" si="12"/>
        <v>7724613.5427979948</v>
      </c>
      <c r="AN44" s="26">
        <f t="shared" si="12"/>
        <v>7706999.3037569914</v>
      </c>
      <c r="AO44" s="26">
        <f t="shared" si="12"/>
        <v>7797069.1937980708</v>
      </c>
      <c r="AP44" s="26">
        <f t="shared" si="12"/>
        <v>7668677.0119079649</v>
      </c>
      <c r="AQ44" s="26">
        <f t="shared" si="12"/>
        <v>8800894.4671802726</v>
      </c>
      <c r="AR44" s="26">
        <f t="shared" si="12"/>
        <v>6855360.6064429721</v>
      </c>
      <c r="AS44" s="26">
        <f t="shared" si="12"/>
        <v>7627440.4957451429</v>
      </c>
      <c r="AT44" s="26">
        <f t="shared" si="12"/>
        <v>8417950.0475873984</v>
      </c>
      <c r="AU44" s="26">
        <f t="shared" si="12"/>
        <v>8703477.3778876755</v>
      </c>
      <c r="AV44" s="26">
        <f>AV45+AV52</f>
        <v>9110360.8019278664</v>
      </c>
      <c r="AW44" s="26">
        <f>AW45+AW52</f>
        <v>9163703.6479128525</v>
      </c>
      <c r="AX44" s="26">
        <f>AX45+AX52</f>
        <v>9323632.8596637361</v>
      </c>
      <c r="AY44" s="26">
        <f>AY45+AY52</f>
        <v>9286208.8746275716</v>
      </c>
    </row>
    <row r="45" spans="1:51" s="28" customFormat="1">
      <c r="A45" s="32" t="s">
        <v>42</v>
      </c>
      <c r="B45" s="32">
        <f t="shared" ref="B45:AU45" si="13">SUM(B46:B50)</f>
        <v>6910</v>
      </c>
      <c r="C45" s="32">
        <f t="shared" si="13"/>
        <v>3859</v>
      </c>
      <c r="D45" s="32">
        <f t="shared" si="13"/>
        <v>3654</v>
      </c>
      <c r="E45" s="32">
        <f t="shared" si="13"/>
        <v>3283</v>
      </c>
      <c r="F45" s="32">
        <f t="shared" si="13"/>
        <v>5059</v>
      </c>
      <c r="G45" s="32">
        <f t="shared" si="13"/>
        <v>2739</v>
      </c>
      <c r="H45" s="32">
        <f t="shared" si="13"/>
        <v>3853</v>
      </c>
      <c r="I45" s="32">
        <f t="shared" si="13"/>
        <v>3034</v>
      </c>
      <c r="J45" s="32">
        <f t="shared" si="13"/>
        <v>3086</v>
      </c>
      <c r="K45" s="32">
        <f t="shared" si="13"/>
        <v>3198.9230000000002</v>
      </c>
      <c r="L45" s="32">
        <f t="shared" si="13"/>
        <v>3311.846</v>
      </c>
      <c r="M45" s="32">
        <f t="shared" si="13"/>
        <v>3424.7689999999998</v>
      </c>
      <c r="N45" s="32">
        <f t="shared" si="13"/>
        <v>3534</v>
      </c>
      <c r="O45" s="32">
        <f t="shared" si="13"/>
        <v>3615.6240000000003</v>
      </c>
      <c r="P45" s="32">
        <f t="shared" si="13"/>
        <v>3697.248</v>
      </c>
      <c r="Q45" s="32">
        <f t="shared" si="13"/>
        <v>3778.8720000000003</v>
      </c>
      <c r="R45" s="32">
        <f t="shared" si="13"/>
        <v>3861</v>
      </c>
      <c r="S45" s="32">
        <f t="shared" si="13"/>
        <v>3952.8000000000006</v>
      </c>
      <c r="T45" s="32">
        <f t="shared" si="13"/>
        <v>4139.55</v>
      </c>
      <c r="U45" s="32">
        <f t="shared" si="13"/>
        <v>4136.3999999999996</v>
      </c>
      <c r="V45" s="32">
        <f t="shared" si="13"/>
        <v>4269</v>
      </c>
      <c r="W45" s="32">
        <f t="shared" si="13"/>
        <v>4628.3</v>
      </c>
      <c r="X45" s="32">
        <f t="shared" si="13"/>
        <v>5380.7</v>
      </c>
      <c r="Y45" s="32">
        <f t="shared" si="13"/>
        <v>5740</v>
      </c>
      <c r="Z45" s="32">
        <f t="shared" si="13"/>
        <v>6042.8339999999998</v>
      </c>
      <c r="AA45" s="32">
        <f t="shared" si="13"/>
        <v>5974.8014600000006</v>
      </c>
      <c r="AB45" s="32">
        <f t="shared" si="13"/>
        <v>5868.0000250000003</v>
      </c>
      <c r="AC45" s="32">
        <f t="shared" si="13"/>
        <v>5761.19859</v>
      </c>
      <c r="AD45" s="32">
        <f t="shared" si="13"/>
        <v>5727.0150000000003</v>
      </c>
      <c r="AE45" s="32">
        <f t="shared" si="13"/>
        <v>5426.7274500000003</v>
      </c>
      <c r="AF45" s="32">
        <f t="shared" si="13"/>
        <v>5238.1928400000006</v>
      </c>
      <c r="AG45" s="32">
        <f t="shared" si="13"/>
        <v>3994.9737000000005</v>
      </c>
      <c r="AH45" s="32">
        <f t="shared" si="13"/>
        <v>5008.3550000000005</v>
      </c>
      <c r="AI45" s="32">
        <f t="shared" si="13"/>
        <v>4860.4492961491787</v>
      </c>
      <c r="AJ45" s="32">
        <f t="shared" si="13"/>
        <v>5054.5530181732438</v>
      </c>
      <c r="AK45" s="32">
        <f t="shared" si="13"/>
        <v>5281.590189801751</v>
      </c>
      <c r="AL45" s="32">
        <f t="shared" si="13"/>
        <v>5780.3829451599995</v>
      </c>
      <c r="AM45" s="32">
        <f t="shared" si="13"/>
        <v>5631.6172627615024</v>
      </c>
      <c r="AN45" s="32">
        <f t="shared" si="13"/>
        <v>5600.365519458579</v>
      </c>
      <c r="AO45" s="32">
        <f t="shared" si="13"/>
        <v>5500.7109517394547</v>
      </c>
      <c r="AP45" s="32">
        <f t="shared" si="13"/>
        <v>4927.1286540000001</v>
      </c>
      <c r="AQ45" s="32">
        <f t="shared" si="13"/>
        <v>5611.7035257274783</v>
      </c>
      <c r="AR45" s="32">
        <f t="shared" si="13"/>
        <v>5748.0135597134267</v>
      </c>
      <c r="AS45" s="32">
        <f t="shared" si="13"/>
        <v>5766.5546401144247</v>
      </c>
      <c r="AT45" s="32">
        <f t="shared" si="13"/>
        <v>5976.6817284632189</v>
      </c>
      <c r="AU45" s="32">
        <f t="shared" si="13"/>
        <v>6380.6934700920274</v>
      </c>
      <c r="AV45" s="32">
        <f>SUM(AV46:AV50)</f>
        <v>6865.0874313881523</v>
      </c>
      <c r="AW45" s="32">
        <f>SUM(AW46:AW50)</f>
        <v>7166.6212500727652</v>
      </c>
      <c r="AX45" s="32">
        <f>SUM(AX46:AX50)</f>
        <v>7316.9266923099922</v>
      </c>
      <c r="AY45" s="32">
        <f>SUM(AY46:AY50)</f>
        <v>7709.4560237339456</v>
      </c>
    </row>
    <row r="46" spans="1:51" s="28" customFormat="1">
      <c r="A46" s="31" t="s">
        <v>26</v>
      </c>
      <c r="B46" s="32"/>
      <c r="C46" s="32"/>
      <c r="D46" s="32"/>
      <c r="E46" s="32"/>
      <c r="F46" s="32"/>
      <c r="G46" s="32"/>
      <c r="H46" s="32"/>
      <c r="I46" s="32"/>
      <c r="J46" s="32"/>
      <c r="K46" s="32"/>
      <c r="L46" s="33"/>
      <c r="M46" s="33"/>
      <c r="N46" s="33"/>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row>
    <row r="47" spans="1:51" s="28" customFormat="1">
      <c r="A47" s="31" t="s">
        <v>18</v>
      </c>
      <c r="B47" s="32">
        <v>4038</v>
      </c>
      <c r="C47" s="32">
        <v>3859</v>
      </c>
      <c r="D47" s="32">
        <v>3654</v>
      </c>
      <c r="E47" s="32">
        <v>3283</v>
      </c>
      <c r="F47" s="32">
        <v>2759</v>
      </c>
      <c r="G47" s="32">
        <v>2739</v>
      </c>
      <c r="H47" s="32">
        <v>3853</v>
      </c>
      <c r="I47" s="32">
        <v>3034</v>
      </c>
      <c r="J47" s="32">
        <v>609</v>
      </c>
      <c r="K47" s="32">
        <v>632.75100000000009</v>
      </c>
      <c r="L47" s="32">
        <v>656.50200000000007</v>
      </c>
      <c r="M47" s="32">
        <v>680.25300000000004</v>
      </c>
      <c r="N47" s="32">
        <v>703</v>
      </c>
      <c r="O47" s="32">
        <v>773.30000000000007</v>
      </c>
      <c r="P47" s="32">
        <v>843.6</v>
      </c>
      <c r="Q47" s="32">
        <v>913.9</v>
      </c>
      <c r="R47" s="32">
        <v>981</v>
      </c>
      <c r="S47" s="32">
        <v>784.80000000000007</v>
      </c>
      <c r="T47" s="32">
        <v>539.55000000000007</v>
      </c>
      <c r="U47" s="32">
        <v>392.40000000000003</v>
      </c>
      <c r="V47" s="32">
        <v>338</v>
      </c>
      <c r="W47" s="32">
        <v>304.2</v>
      </c>
      <c r="X47" s="32">
        <v>270.40000000000003</v>
      </c>
      <c r="Y47" s="32">
        <v>236.6</v>
      </c>
      <c r="Z47" s="32">
        <v>190.10499999999999</v>
      </c>
      <c r="AA47" s="32">
        <v>180.59974999999997</v>
      </c>
      <c r="AB47" s="32">
        <v>161.58924999999999</v>
      </c>
      <c r="AC47" s="32">
        <v>142.57874999999999</v>
      </c>
      <c r="AD47" s="32">
        <v>139.36799999999999</v>
      </c>
      <c r="AE47" s="32">
        <v>118.46279999999999</v>
      </c>
      <c r="AF47" s="32">
        <v>97.557599999999994</v>
      </c>
      <c r="AG47" s="32">
        <v>83.620799999999988</v>
      </c>
      <c r="AH47" s="32">
        <v>69.152000000000044</v>
      </c>
      <c r="AI47" s="32">
        <v>72.609600000000043</v>
      </c>
      <c r="AJ47" s="32">
        <v>73.992640000000051</v>
      </c>
      <c r="AK47" s="32">
        <v>71.918080000000046</v>
      </c>
      <c r="AL47" s="32">
        <v>248.80600000000001</v>
      </c>
      <c r="AM47" s="32">
        <v>203.1933105084498</v>
      </c>
      <c r="AN47" s="32">
        <v>168.51838103527979</v>
      </c>
      <c r="AO47" s="32">
        <v>144.81805301383088</v>
      </c>
      <c r="AP47" s="32">
        <v>108.155</v>
      </c>
      <c r="AQ47" s="32">
        <v>102.77766897934686</v>
      </c>
      <c r="AR47" s="32">
        <v>119.5823429632942</v>
      </c>
      <c r="AS47" s="32">
        <v>129.88029398544381</v>
      </c>
      <c r="AT47" s="32">
        <v>187.398</v>
      </c>
      <c r="AU47" s="32">
        <v>197.66267052761768</v>
      </c>
      <c r="AV47" s="32">
        <v>247.62366726512855</v>
      </c>
      <c r="AW47" s="32">
        <v>273.61143569414469</v>
      </c>
      <c r="AX47" s="32">
        <v>297.78409348937333</v>
      </c>
      <c r="AY47" s="32">
        <v>339.56145077701882</v>
      </c>
    </row>
    <row r="48" spans="1:51" s="28" customFormat="1">
      <c r="A48" s="31" t="s">
        <v>19</v>
      </c>
      <c r="B48" s="32"/>
      <c r="C48" s="32"/>
      <c r="D48" s="32"/>
      <c r="E48" s="32"/>
      <c r="F48" s="32"/>
      <c r="G48" s="32"/>
      <c r="H48" s="32"/>
      <c r="I48" s="32"/>
      <c r="J48" s="32"/>
      <c r="K48" s="32"/>
      <c r="L48" s="33"/>
      <c r="M48" s="33"/>
      <c r="N48" s="33"/>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row>
    <row r="49" spans="1:51" s="28" customFormat="1">
      <c r="A49" s="31" t="s">
        <v>27</v>
      </c>
      <c r="B49" s="32">
        <v>2872</v>
      </c>
      <c r="C49" s="32"/>
      <c r="D49" s="32"/>
      <c r="E49" s="32"/>
      <c r="F49" s="32">
        <v>2300</v>
      </c>
      <c r="G49" s="32"/>
      <c r="H49" s="32"/>
      <c r="I49" s="32"/>
      <c r="J49" s="32">
        <v>2477</v>
      </c>
      <c r="K49" s="32">
        <v>2566.172</v>
      </c>
      <c r="L49" s="33">
        <v>2655.3440000000001</v>
      </c>
      <c r="M49" s="33">
        <v>2744.5159999999996</v>
      </c>
      <c r="N49" s="33">
        <v>2831</v>
      </c>
      <c r="O49" s="32">
        <v>2842.3240000000001</v>
      </c>
      <c r="P49" s="32">
        <v>2853.6480000000001</v>
      </c>
      <c r="Q49" s="32">
        <v>2864.9720000000002</v>
      </c>
      <c r="R49" s="32">
        <v>2880</v>
      </c>
      <c r="S49" s="32">
        <v>3168.0000000000005</v>
      </c>
      <c r="T49" s="32">
        <v>3600</v>
      </c>
      <c r="U49" s="32">
        <v>3744</v>
      </c>
      <c r="V49" s="32">
        <v>3931</v>
      </c>
      <c r="W49" s="32">
        <v>4324.1000000000004</v>
      </c>
      <c r="X49" s="32">
        <v>5110.3</v>
      </c>
      <c r="Y49" s="32">
        <v>5503.4</v>
      </c>
      <c r="Z49" s="32">
        <v>5852.7290000000003</v>
      </c>
      <c r="AA49" s="32">
        <v>5794.2017100000003</v>
      </c>
      <c r="AB49" s="32">
        <v>5706.4107750000003</v>
      </c>
      <c r="AC49" s="32">
        <v>5618.6198400000003</v>
      </c>
      <c r="AD49" s="32">
        <v>5587.6469999999999</v>
      </c>
      <c r="AE49" s="32">
        <v>5308.2646500000001</v>
      </c>
      <c r="AF49" s="32">
        <v>5140.6352400000005</v>
      </c>
      <c r="AG49" s="32">
        <v>3911.3529000000003</v>
      </c>
      <c r="AH49" s="32">
        <v>4939.2030000000004</v>
      </c>
      <c r="AI49" s="32">
        <v>4787.839696149179</v>
      </c>
      <c r="AJ49" s="32">
        <v>4980.5603781732434</v>
      </c>
      <c r="AK49" s="32">
        <v>5209.6721098017506</v>
      </c>
      <c r="AL49" s="32">
        <v>5531.5769451599999</v>
      </c>
      <c r="AM49" s="32">
        <v>5428.4239522530524</v>
      </c>
      <c r="AN49" s="32">
        <v>5431.8471384232989</v>
      </c>
      <c r="AO49" s="32">
        <v>5355.892898725624</v>
      </c>
      <c r="AP49" s="32">
        <v>4818.9736540000004</v>
      </c>
      <c r="AQ49" s="32">
        <v>5508.9258567481311</v>
      </c>
      <c r="AR49" s="32">
        <v>5628.4312167501321</v>
      </c>
      <c r="AS49" s="32">
        <v>5636.6743461289807</v>
      </c>
      <c r="AT49" s="32">
        <v>5789.2837284632187</v>
      </c>
      <c r="AU49" s="32">
        <v>6183.0307995644098</v>
      </c>
      <c r="AV49" s="32">
        <v>6617.4637641230238</v>
      </c>
      <c r="AW49" s="32">
        <v>6893.0098143786208</v>
      </c>
      <c r="AX49" s="32">
        <v>7019.1425988206192</v>
      </c>
      <c r="AY49" s="32">
        <v>7369.8945729569268</v>
      </c>
    </row>
    <row r="50" spans="1:51" s="28" customFormat="1">
      <c r="A50" s="31" t="s">
        <v>25</v>
      </c>
      <c r="B50" s="32"/>
      <c r="C50" s="32"/>
      <c r="D50" s="32"/>
      <c r="E50" s="32"/>
      <c r="F50" s="32"/>
      <c r="G50" s="32"/>
      <c r="H50" s="32"/>
      <c r="I50" s="32"/>
      <c r="J50" s="32"/>
      <c r="K50" s="32"/>
      <c r="L50" s="33"/>
      <c r="M50" s="33"/>
      <c r="N50" s="33"/>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row>
    <row r="51" spans="1:51" s="28" customFormat="1">
      <c r="A51" s="31"/>
      <c r="B51" s="32"/>
      <c r="C51" s="32"/>
      <c r="D51" s="32"/>
      <c r="E51" s="32"/>
      <c r="F51" s="32"/>
      <c r="G51" s="32"/>
      <c r="H51" s="32"/>
      <c r="I51" s="32"/>
      <c r="J51" s="32"/>
      <c r="K51" s="32"/>
      <c r="L51" s="33"/>
      <c r="M51" s="33"/>
      <c r="N51" s="33"/>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row>
    <row r="52" spans="1:51" s="28" customFormat="1">
      <c r="A52" s="29" t="s">
        <v>8</v>
      </c>
      <c r="B52" s="3">
        <f t="shared" ref="B52:AU52" si="14">B53+B56+B60+B61+B62+B65</f>
        <v>4190806</v>
      </c>
      <c r="C52" s="3">
        <f t="shared" si="14"/>
        <v>4245593</v>
      </c>
      <c r="D52" s="3">
        <f t="shared" si="14"/>
        <v>4303412</v>
      </c>
      <c r="E52" s="3">
        <f t="shared" si="14"/>
        <v>4409874</v>
      </c>
      <c r="F52" s="3">
        <f t="shared" si="14"/>
        <v>5155037</v>
      </c>
      <c r="G52" s="3">
        <f t="shared" si="14"/>
        <v>6108373.3573686667</v>
      </c>
      <c r="H52" s="3">
        <f t="shared" si="14"/>
        <v>6189267.8573686667</v>
      </c>
      <c r="I52" s="3">
        <f t="shared" si="14"/>
        <v>6313734.7373686675</v>
      </c>
      <c r="J52" s="3">
        <f t="shared" si="14"/>
        <v>6555315</v>
      </c>
      <c r="K52" s="3">
        <f t="shared" si="14"/>
        <v>6647580.8810000001</v>
      </c>
      <c r="L52" s="3">
        <f t="shared" si="14"/>
        <v>6739659.7620000001</v>
      </c>
      <c r="M52" s="3">
        <f t="shared" si="14"/>
        <v>6832241.6430000002</v>
      </c>
      <c r="N52" s="3">
        <f t="shared" si="14"/>
        <v>6925062</v>
      </c>
      <c r="O52" s="3">
        <f t="shared" si="14"/>
        <v>6662886.1590593727</v>
      </c>
      <c r="P52" s="3">
        <f t="shared" si="14"/>
        <v>5880925.5062800841</v>
      </c>
      <c r="Q52" s="3">
        <f t="shared" si="14"/>
        <v>5642095.2013510056</v>
      </c>
      <c r="R52" s="3">
        <f t="shared" si="14"/>
        <v>5271014.7876366908</v>
      </c>
      <c r="S52" s="3">
        <f t="shared" si="14"/>
        <v>5041614.4192461669</v>
      </c>
      <c r="T52" s="3">
        <f t="shared" si="14"/>
        <v>4734533.6459740913</v>
      </c>
      <c r="U52" s="3">
        <f t="shared" si="14"/>
        <v>4623323.8727870816</v>
      </c>
      <c r="V52" s="3">
        <f t="shared" si="14"/>
        <v>4299798.3288329542</v>
      </c>
      <c r="W52" s="3">
        <f t="shared" si="14"/>
        <v>5140925.0072992919</v>
      </c>
      <c r="X52" s="3">
        <f t="shared" si="14"/>
        <v>5166090.957879209</v>
      </c>
      <c r="Y52" s="3">
        <f t="shared" si="14"/>
        <v>5667871.0773622366</v>
      </c>
      <c r="Z52" s="3">
        <f t="shared" si="14"/>
        <v>6154654.4812029768</v>
      </c>
      <c r="AA52" s="3">
        <f t="shared" si="14"/>
        <v>6201209.233000719</v>
      </c>
      <c r="AB52" s="3">
        <f t="shared" si="14"/>
        <v>6383231.0279031545</v>
      </c>
      <c r="AC52" s="3">
        <f t="shared" si="14"/>
        <v>6658486.5423501274</v>
      </c>
      <c r="AD52" s="3">
        <f t="shared" si="14"/>
        <v>6715314.6612732112</v>
      </c>
      <c r="AE52" s="3">
        <f t="shared" si="14"/>
        <v>6903153.1681776335</v>
      </c>
      <c r="AF52" s="3">
        <f t="shared" si="14"/>
        <v>7039900.6435750481</v>
      </c>
      <c r="AG52" s="3">
        <f t="shared" si="14"/>
        <v>7160760.0013798978</v>
      </c>
      <c r="AH52" s="3">
        <f t="shared" si="14"/>
        <v>7368719.5561974756</v>
      </c>
      <c r="AI52" s="3">
        <f t="shared" si="14"/>
        <v>7351573.9916737415</v>
      </c>
      <c r="AJ52" s="3">
        <f t="shared" si="14"/>
        <v>7686990.6898001488</v>
      </c>
      <c r="AK52" s="3">
        <f t="shared" si="14"/>
        <v>7657129.285688444</v>
      </c>
      <c r="AL52" s="3">
        <f t="shared" si="14"/>
        <v>7729118.2301591812</v>
      </c>
      <c r="AM52" s="3">
        <f t="shared" si="14"/>
        <v>7718981.9255352337</v>
      </c>
      <c r="AN52" s="3">
        <f t="shared" si="14"/>
        <v>7701398.938237533</v>
      </c>
      <c r="AO52" s="3">
        <f t="shared" si="14"/>
        <v>7791568.4828463318</v>
      </c>
      <c r="AP52" s="3">
        <f t="shared" si="14"/>
        <v>7663749.8832539646</v>
      </c>
      <c r="AQ52" s="3">
        <f t="shared" si="14"/>
        <v>8795282.7636545449</v>
      </c>
      <c r="AR52" s="3">
        <f t="shared" si="14"/>
        <v>6849612.5928832591</v>
      </c>
      <c r="AS52" s="3">
        <f t="shared" si="14"/>
        <v>7621673.9411050286</v>
      </c>
      <c r="AT52" s="3">
        <f t="shared" si="14"/>
        <v>8411973.3658589348</v>
      </c>
      <c r="AU52" s="3">
        <f t="shared" si="14"/>
        <v>8697096.684417583</v>
      </c>
      <c r="AV52" s="3">
        <f>AV53+AV56+AV60+AV61+AV62+AV65</f>
        <v>9103495.7144964784</v>
      </c>
      <c r="AW52" s="3">
        <f>AW53+AW56+AW60+AW61+AW62+AW65</f>
        <v>9156537.02666278</v>
      </c>
      <c r="AX52" s="3">
        <f>AX53+AX56+AX60+AX61+AX62+AX65</f>
        <v>9316315.9329714254</v>
      </c>
      <c r="AY52" s="3">
        <f>AY53+AY56+AY60+AY61+AY62+AY65</f>
        <v>9278499.4186038375</v>
      </c>
    </row>
    <row r="53" spans="1:51" s="28" customFormat="1">
      <c r="A53" s="31" t="s">
        <v>17</v>
      </c>
      <c r="B53" s="37">
        <v>982880</v>
      </c>
      <c r="C53" s="37">
        <v>1008641</v>
      </c>
      <c r="D53" s="37">
        <v>1038082</v>
      </c>
      <c r="E53" s="37">
        <v>1091444</v>
      </c>
      <c r="F53" s="37">
        <v>1166886</v>
      </c>
      <c r="G53" s="37">
        <v>896917</v>
      </c>
      <c r="H53" s="37">
        <v>626932</v>
      </c>
      <c r="I53" s="38">
        <v>356963</v>
      </c>
      <c r="J53" s="37">
        <v>498513</v>
      </c>
      <c r="K53" s="37">
        <v>516957.98099999997</v>
      </c>
      <c r="L53" s="37">
        <v>535402.96200000006</v>
      </c>
      <c r="M53" s="37">
        <v>553847.94299999997</v>
      </c>
      <c r="N53" s="37">
        <v>572959</v>
      </c>
      <c r="O53" s="37">
        <v>507438.81682256114</v>
      </c>
      <c r="P53" s="32">
        <v>459035.30422034062</v>
      </c>
      <c r="Q53" s="32">
        <v>406598.87945116573</v>
      </c>
      <c r="R53" s="32">
        <v>347549.78957663791</v>
      </c>
      <c r="S53" s="32">
        <v>279257.0667405806</v>
      </c>
      <c r="T53" s="32">
        <v>220037.56656476812</v>
      </c>
      <c r="U53" s="32">
        <v>176106.91840001362</v>
      </c>
      <c r="V53" s="32">
        <f>V54+V55</f>
        <v>108752.55650904866</v>
      </c>
      <c r="W53" s="32">
        <f t="shared" ref="W53:AY53" si="15">W54+W55</f>
        <v>211523.19859126559</v>
      </c>
      <c r="X53" s="32">
        <f t="shared" si="15"/>
        <v>280775.63651160552</v>
      </c>
      <c r="Y53" s="32">
        <f t="shared" si="15"/>
        <v>339775.55050164013</v>
      </c>
      <c r="Z53" s="32">
        <f t="shared" si="15"/>
        <v>400881.3916411213</v>
      </c>
      <c r="AA53" s="32">
        <f t="shared" si="15"/>
        <v>391291.85191851051</v>
      </c>
      <c r="AB53" s="32">
        <f t="shared" si="15"/>
        <v>385351.76302717841</v>
      </c>
      <c r="AC53" s="32">
        <f t="shared" si="15"/>
        <v>373696.67541146319</v>
      </c>
      <c r="AD53" s="32">
        <f t="shared" si="15"/>
        <v>367962.77166528004</v>
      </c>
      <c r="AE53" s="32">
        <f t="shared" si="15"/>
        <v>394278.56818245276</v>
      </c>
      <c r="AF53" s="32">
        <f t="shared" si="15"/>
        <v>421255.31478999025</v>
      </c>
      <c r="AG53" s="32">
        <f t="shared" si="15"/>
        <v>442616.8630661873</v>
      </c>
      <c r="AH53" s="32">
        <f t="shared" si="15"/>
        <v>465046.7038721214</v>
      </c>
      <c r="AI53" s="32">
        <f t="shared" si="15"/>
        <v>436119.71060974774</v>
      </c>
      <c r="AJ53" s="32">
        <f t="shared" si="15"/>
        <v>430862.45928519359</v>
      </c>
      <c r="AK53" s="32">
        <f t="shared" si="15"/>
        <v>403690.87019229837</v>
      </c>
      <c r="AL53" s="32">
        <f t="shared" si="15"/>
        <v>395167.37409589882</v>
      </c>
      <c r="AM53" s="32">
        <f t="shared" si="15"/>
        <v>396600.36174538051</v>
      </c>
      <c r="AN53" s="32">
        <f t="shared" si="15"/>
        <v>399572.94456601952</v>
      </c>
      <c r="AO53" s="32">
        <f t="shared" si="15"/>
        <v>407342.61210556142</v>
      </c>
      <c r="AP53" s="32">
        <f t="shared" si="15"/>
        <v>405125.69782396499</v>
      </c>
      <c r="AQ53" s="32">
        <f t="shared" si="15"/>
        <v>448419.21816659602</v>
      </c>
      <c r="AR53" s="32">
        <f t="shared" si="15"/>
        <v>500457.89027668542</v>
      </c>
      <c r="AS53" s="32">
        <f t="shared" si="15"/>
        <v>511311.89089239249</v>
      </c>
      <c r="AT53" s="32">
        <f t="shared" si="15"/>
        <v>513036.08802178997</v>
      </c>
      <c r="AU53" s="32">
        <f t="shared" si="15"/>
        <v>542605.78372321941</v>
      </c>
      <c r="AV53" s="32">
        <f t="shared" si="15"/>
        <v>569454.63274695585</v>
      </c>
      <c r="AW53" s="32">
        <f t="shared" si="15"/>
        <v>575927.9920154023</v>
      </c>
      <c r="AX53" s="32">
        <f t="shared" si="15"/>
        <v>591932.45450910216</v>
      </c>
      <c r="AY53" s="32">
        <f t="shared" si="15"/>
        <v>578794.32424265705</v>
      </c>
    </row>
    <row r="54" spans="1:51" s="28" customFormat="1">
      <c r="A54" s="29" t="s">
        <v>32</v>
      </c>
      <c r="B54" s="38">
        <v>981340</v>
      </c>
      <c r="C54" s="38">
        <v>1007101</v>
      </c>
      <c r="D54" s="38">
        <v>1036542</v>
      </c>
      <c r="E54" s="38">
        <v>1089904</v>
      </c>
      <c r="F54" s="38">
        <v>1165346</v>
      </c>
      <c r="G54" s="38">
        <v>895346</v>
      </c>
      <c r="H54" s="38">
        <v>625346</v>
      </c>
      <c r="I54" s="38">
        <v>355346</v>
      </c>
      <c r="J54" s="38">
        <v>498513</v>
      </c>
      <c r="K54" s="38">
        <v>516957.98099999997</v>
      </c>
      <c r="L54" s="38">
        <v>535402.96200000006</v>
      </c>
      <c r="M54" s="38">
        <v>553847.94299999997</v>
      </c>
      <c r="N54" s="38">
        <v>572959</v>
      </c>
      <c r="O54" s="38">
        <v>507438.81682256114</v>
      </c>
      <c r="P54" s="39">
        <v>459035.30422034062</v>
      </c>
      <c r="Q54" s="39">
        <v>406598.87945116573</v>
      </c>
      <c r="R54" s="39">
        <v>347549.78957663791</v>
      </c>
      <c r="S54" s="39">
        <v>279257.0667405806</v>
      </c>
      <c r="T54" s="39">
        <v>220037.56656476812</v>
      </c>
      <c r="U54" s="39">
        <v>176106.91840001362</v>
      </c>
      <c r="V54" s="39">
        <v>108531.20882959866</v>
      </c>
      <c r="W54" s="39">
        <v>211201.82271741561</v>
      </c>
      <c r="X54" s="39">
        <v>280354.23244335555</v>
      </c>
      <c r="Y54" s="39">
        <v>339254.11823899014</v>
      </c>
      <c r="Z54" s="39">
        <v>400259.93118407129</v>
      </c>
      <c r="AA54" s="39">
        <v>390633.81108440302</v>
      </c>
      <c r="AB54" s="39">
        <v>384657.14181601343</v>
      </c>
      <c r="AC54" s="39">
        <v>372965.47382324067</v>
      </c>
      <c r="AD54" s="39">
        <v>367194.98970000003</v>
      </c>
      <c r="AE54" s="39">
        <v>393336.62615997653</v>
      </c>
      <c r="AF54" s="39">
        <v>420139.21271031775</v>
      </c>
      <c r="AG54" s="39">
        <v>441326.60092931858</v>
      </c>
      <c r="AH54" s="39">
        <v>463582.2816780564</v>
      </c>
      <c r="AI54" s="39">
        <v>434775.67878646776</v>
      </c>
      <c r="AJ54" s="39">
        <v>429549.12331789359</v>
      </c>
      <c r="AK54" s="39">
        <v>401999.64480767137</v>
      </c>
      <c r="AL54" s="39">
        <v>393297.5571998388</v>
      </c>
      <c r="AM54" s="39">
        <v>394875.2583716425</v>
      </c>
      <c r="AN54" s="39">
        <v>397639.34606656351</v>
      </c>
      <c r="AO54" s="39">
        <v>405291.51625613344</v>
      </c>
      <c r="AP54" s="39">
        <v>402967.10099999997</v>
      </c>
      <c r="AQ54" s="39">
        <v>446274.65720387903</v>
      </c>
      <c r="AR54" s="39">
        <v>498412.4154889104</v>
      </c>
      <c r="AS54" s="39">
        <v>509317.18284224952</v>
      </c>
      <c r="AT54" s="39">
        <v>511500.08399999997</v>
      </c>
      <c r="AU54" s="39">
        <v>541051.91930005443</v>
      </c>
      <c r="AV54" s="39">
        <v>567953.6322952339</v>
      </c>
      <c r="AW54" s="39">
        <v>574163.71939809725</v>
      </c>
      <c r="AX54" s="39">
        <v>589939.62126865913</v>
      </c>
      <c r="AY54" s="39">
        <v>576816.34635600203</v>
      </c>
    </row>
    <row r="55" spans="1:51" s="28" customFormat="1">
      <c r="A55" s="29" t="s">
        <v>48</v>
      </c>
      <c r="B55" s="38"/>
      <c r="C55" s="38"/>
      <c r="D55" s="38"/>
      <c r="E55" s="38"/>
      <c r="F55" s="38"/>
      <c r="G55" s="38"/>
      <c r="H55" s="38"/>
      <c r="I55" s="38"/>
      <c r="J55" s="38"/>
      <c r="K55" s="38"/>
      <c r="L55" s="38"/>
      <c r="M55" s="38"/>
      <c r="N55" s="38"/>
      <c r="O55" s="38"/>
      <c r="P55" s="39"/>
      <c r="Q55" s="39"/>
      <c r="R55" s="39"/>
      <c r="S55" s="39"/>
      <c r="T55" s="39"/>
      <c r="U55" s="39"/>
      <c r="V55" s="39">
        <v>221.34767944999999</v>
      </c>
      <c r="W55" s="39">
        <v>321.37587385</v>
      </c>
      <c r="X55" s="39">
        <v>421.40406825000008</v>
      </c>
      <c r="Y55" s="39">
        <v>521.4322626500001</v>
      </c>
      <c r="Z55" s="39">
        <v>621.46045705000006</v>
      </c>
      <c r="AA55" s="39">
        <v>658.04083410750013</v>
      </c>
      <c r="AB55" s="39">
        <v>694.62121116499998</v>
      </c>
      <c r="AC55" s="39">
        <v>731.20158822249982</v>
      </c>
      <c r="AD55" s="39">
        <v>767.78196527999989</v>
      </c>
      <c r="AE55" s="39">
        <v>941.9420224762498</v>
      </c>
      <c r="AF55" s="39">
        <v>1116.1020796724999</v>
      </c>
      <c r="AG55" s="39">
        <v>1290.2621368687498</v>
      </c>
      <c r="AH55" s="39">
        <v>1464.4221940649998</v>
      </c>
      <c r="AI55" s="39">
        <v>1344.03182328</v>
      </c>
      <c r="AJ55" s="39">
        <v>1313.3359673</v>
      </c>
      <c r="AK55" s="39">
        <v>1691.225384627</v>
      </c>
      <c r="AL55" s="39">
        <v>1869.8168960600001</v>
      </c>
      <c r="AM55" s="39">
        <v>1725.1033737379996</v>
      </c>
      <c r="AN55" s="39">
        <v>1933.5984994560001</v>
      </c>
      <c r="AO55" s="39">
        <v>2051.0958494279998</v>
      </c>
      <c r="AP55" s="39">
        <v>2158.5968239650001</v>
      </c>
      <c r="AQ55" s="39">
        <v>2144.5609627169993</v>
      </c>
      <c r="AR55" s="39">
        <v>2045.4747877749999</v>
      </c>
      <c r="AS55" s="39">
        <v>1994.7080501429998</v>
      </c>
      <c r="AT55" s="39">
        <v>1536.0040217900007</v>
      </c>
      <c r="AU55" s="39">
        <v>1553.8644231650001</v>
      </c>
      <c r="AV55" s="39">
        <v>1501.000451722</v>
      </c>
      <c r="AW55" s="39">
        <v>1764.2726173049994</v>
      </c>
      <c r="AX55" s="39">
        <v>1992.8332404429996</v>
      </c>
      <c r="AY55" s="39">
        <v>1977.9778866549996</v>
      </c>
    </row>
    <row r="56" spans="1:51" s="28" customFormat="1">
      <c r="A56" s="31" t="s">
        <v>18</v>
      </c>
      <c r="B56" s="32">
        <f t="shared" ref="B56:AY56" si="16">B57+B58+B59</f>
        <v>230088</v>
      </c>
      <c r="C56" s="32">
        <f t="shared" si="16"/>
        <v>307335</v>
      </c>
      <c r="D56" s="32">
        <f t="shared" si="16"/>
        <v>393094</v>
      </c>
      <c r="E56" s="32">
        <f t="shared" si="16"/>
        <v>550199</v>
      </c>
      <c r="F56" s="32">
        <f t="shared" si="16"/>
        <v>1360930</v>
      </c>
      <c r="G56" s="32">
        <f t="shared" si="16"/>
        <v>1348638.2473686675</v>
      </c>
      <c r="H56" s="32">
        <f t="shared" si="16"/>
        <v>1333944.9973686675</v>
      </c>
      <c r="I56" s="32">
        <f t="shared" si="16"/>
        <v>1318939.3973686674</v>
      </c>
      <c r="J56" s="32">
        <f t="shared" si="16"/>
        <v>978101</v>
      </c>
      <c r="K56" s="32">
        <f t="shared" si="16"/>
        <v>939934.6</v>
      </c>
      <c r="L56" s="32">
        <f t="shared" si="16"/>
        <v>901581.20000000007</v>
      </c>
      <c r="M56" s="32">
        <f t="shared" si="16"/>
        <v>863729.8</v>
      </c>
      <c r="N56" s="32">
        <f t="shared" si="16"/>
        <v>830175</v>
      </c>
      <c r="O56" s="32">
        <f t="shared" si="16"/>
        <v>1222170.4518900909</v>
      </c>
      <c r="P56" s="32">
        <f t="shared" si="16"/>
        <v>922648.50009473623</v>
      </c>
      <c r="Q56" s="32">
        <f t="shared" si="16"/>
        <v>1218930.7741243755</v>
      </c>
      <c r="R56" s="32">
        <f t="shared" si="16"/>
        <v>1462392.9334643213</v>
      </c>
      <c r="S56" s="32">
        <f t="shared" si="16"/>
        <v>1382014.2171398418</v>
      </c>
      <c r="T56" s="32">
        <f t="shared" si="16"/>
        <v>1350254.933328545</v>
      </c>
      <c r="U56" s="32">
        <f t="shared" si="16"/>
        <v>1358968.510237443</v>
      </c>
      <c r="V56" s="32">
        <f t="shared" si="16"/>
        <v>1333166.8742420862</v>
      </c>
      <c r="W56" s="32">
        <f t="shared" si="16"/>
        <v>1590265.5648512482</v>
      </c>
      <c r="X56" s="32">
        <f t="shared" si="16"/>
        <v>1590439.2277741851</v>
      </c>
      <c r="Y56" s="32">
        <f t="shared" si="16"/>
        <v>1446001.3881904432</v>
      </c>
      <c r="Z56" s="32">
        <f t="shared" si="16"/>
        <v>1315716.4236999999</v>
      </c>
      <c r="AA56" s="32">
        <f t="shared" si="16"/>
        <v>1325635.5463498796</v>
      </c>
      <c r="AB56" s="32">
        <f t="shared" si="16"/>
        <v>1362036.9874395123</v>
      </c>
      <c r="AC56" s="32">
        <f t="shared" si="16"/>
        <v>1498654.0396514579</v>
      </c>
      <c r="AD56" s="32">
        <f t="shared" si="16"/>
        <v>1611330.8720000002</v>
      </c>
      <c r="AE56" s="32">
        <f t="shared" si="16"/>
        <v>1663721.7579129841</v>
      </c>
      <c r="AF56" s="32">
        <f t="shared" si="16"/>
        <v>1716715.5263831033</v>
      </c>
      <c r="AG56" s="32">
        <f t="shared" si="16"/>
        <v>1757811.2490186912</v>
      </c>
      <c r="AH56" s="32">
        <f t="shared" si="16"/>
        <v>1807947.1006185464</v>
      </c>
      <c r="AI56" s="32">
        <f t="shared" si="16"/>
        <v>1770781.4555124498</v>
      </c>
      <c r="AJ56" s="32">
        <f t="shared" si="16"/>
        <v>1819692.3307425699</v>
      </c>
      <c r="AK56" s="32">
        <f t="shared" si="16"/>
        <v>1780694.5857006116</v>
      </c>
      <c r="AL56" s="32">
        <f t="shared" si="16"/>
        <v>1766782.2774933325</v>
      </c>
      <c r="AM56" s="32">
        <f t="shared" si="16"/>
        <v>1764864.2869723244</v>
      </c>
      <c r="AN56" s="32">
        <f t="shared" si="16"/>
        <v>1766341.9696222653</v>
      </c>
      <c r="AO56" s="32">
        <f t="shared" si="16"/>
        <v>1792700.1157381884</v>
      </c>
      <c r="AP56" s="32">
        <f t="shared" si="16"/>
        <v>1769844.5491999998</v>
      </c>
      <c r="AQ56" s="32">
        <f t="shared" si="16"/>
        <v>1934207.2217373184</v>
      </c>
      <c r="AR56" s="32">
        <f t="shared" si="16"/>
        <v>1977042.6251911554</v>
      </c>
      <c r="AS56" s="32">
        <f t="shared" si="16"/>
        <v>1952085.0329016589</v>
      </c>
      <c r="AT56" s="32">
        <f t="shared" si="16"/>
        <v>1844235.2659999998</v>
      </c>
      <c r="AU56" s="32">
        <f t="shared" si="16"/>
        <v>1892797.7702849044</v>
      </c>
      <c r="AV56" s="32">
        <f t="shared" si="16"/>
        <v>1986877.187172699</v>
      </c>
      <c r="AW56" s="32">
        <f t="shared" si="16"/>
        <v>1988157.0694750333</v>
      </c>
      <c r="AX56" s="32">
        <f t="shared" si="16"/>
        <v>2025371.4477037708</v>
      </c>
      <c r="AY56" s="32">
        <f t="shared" si="16"/>
        <v>2024708.7124514524</v>
      </c>
    </row>
    <row r="57" spans="1:51" s="28" customFormat="1">
      <c r="A57" s="29" t="s">
        <v>32</v>
      </c>
      <c r="B57" s="39">
        <v>220457</v>
      </c>
      <c r="C57" s="38">
        <v>296471</v>
      </c>
      <c r="D57" s="38">
        <v>383344</v>
      </c>
      <c r="E57" s="38">
        <v>540802</v>
      </c>
      <c r="F57" s="39">
        <v>1352239</v>
      </c>
      <c r="G57" s="39">
        <v>1340448.2473686675</v>
      </c>
      <c r="H57" s="38">
        <v>1326411.9973686675</v>
      </c>
      <c r="I57" s="38">
        <v>1310691.3973686674</v>
      </c>
      <c r="J57" s="38">
        <v>948085</v>
      </c>
      <c r="K57" s="39">
        <v>910161.6</v>
      </c>
      <c r="L57" s="38">
        <v>872238.20000000007</v>
      </c>
      <c r="M57" s="38">
        <v>834314.8</v>
      </c>
      <c r="N57" s="38">
        <v>801141</v>
      </c>
      <c r="O57" s="38">
        <v>1194486.3820480285</v>
      </c>
      <c r="P57" s="39">
        <v>896610.08115267893</v>
      </c>
      <c r="Q57" s="39">
        <v>1194784.4901691799</v>
      </c>
      <c r="R57" s="39">
        <v>1439785.5654643213</v>
      </c>
      <c r="S57" s="39">
        <v>1367997.7232605231</v>
      </c>
      <c r="T57" s="39">
        <v>1336337.8825999973</v>
      </c>
      <c r="U57" s="39">
        <v>1344916.545939046</v>
      </c>
      <c r="V57" s="39">
        <v>1318732.7762420862</v>
      </c>
      <c r="W57" s="39">
        <v>1574884.3559039789</v>
      </c>
      <c r="X57" s="39">
        <v>1575236.1099487799</v>
      </c>
      <c r="Y57" s="39">
        <v>1431042.0759413259</v>
      </c>
      <c r="Z57" s="39">
        <v>1301001.2637</v>
      </c>
      <c r="AA57" s="39">
        <v>1311450.3637917188</v>
      </c>
      <c r="AB57" s="39">
        <v>1347976.1202945632</v>
      </c>
      <c r="AC57" s="39">
        <v>1484546.3631372007</v>
      </c>
      <c r="AD57" s="39">
        <v>1597768.1370000001</v>
      </c>
      <c r="AE57" s="39">
        <v>1650696.9358219823</v>
      </c>
      <c r="AF57" s="39">
        <v>1702976.4341410289</v>
      </c>
      <c r="AG57" s="39">
        <v>1744635.7203662216</v>
      </c>
      <c r="AH57" s="39">
        <v>1794589.8136185464</v>
      </c>
      <c r="AI57" s="39">
        <v>1757975.669855505</v>
      </c>
      <c r="AJ57" s="39">
        <v>1805671.5559220081</v>
      </c>
      <c r="AK57" s="39">
        <v>1766562.6355526289</v>
      </c>
      <c r="AL57" s="39">
        <v>1752752.4054933325</v>
      </c>
      <c r="AM57" s="39">
        <v>1751189.2085843047</v>
      </c>
      <c r="AN57" s="39">
        <v>1752411.3931627746</v>
      </c>
      <c r="AO57" s="39">
        <v>1779014.6820300131</v>
      </c>
      <c r="AP57" s="39">
        <v>1752119.9871999999</v>
      </c>
      <c r="AQ57" s="39">
        <v>1913055.5348005244</v>
      </c>
      <c r="AR57" s="39">
        <v>1954352.6978622857</v>
      </c>
      <c r="AS57" s="39">
        <v>1928655.0975997541</v>
      </c>
      <c r="AT57" s="39">
        <v>1819699.1009999998</v>
      </c>
      <c r="AU57" s="39">
        <v>1867366.2316606701</v>
      </c>
      <c r="AV57" s="39">
        <v>1959627.2767650604</v>
      </c>
      <c r="AW57" s="39">
        <v>1960899.7150608313</v>
      </c>
      <c r="AX57" s="39">
        <v>1997574.296701733</v>
      </c>
      <c r="AY57" s="39">
        <v>1996622.4500751528</v>
      </c>
    </row>
    <row r="58" spans="1:51" s="28" customFormat="1">
      <c r="A58" s="29" t="s">
        <v>49</v>
      </c>
      <c r="B58" s="38">
        <v>9631</v>
      </c>
      <c r="C58" s="38">
        <v>10864</v>
      </c>
      <c r="D58" s="38">
        <v>9750</v>
      </c>
      <c r="E58" s="38">
        <v>9397</v>
      </c>
      <c r="F58" s="38">
        <v>8691</v>
      </c>
      <c r="G58" s="38">
        <v>8190</v>
      </c>
      <c r="H58" s="38">
        <v>7533</v>
      </c>
      <c r="I58" s="38">
        <v>8248</v>
      </c>
      <c r="J58" s="38">
        <v>11173</v>
      </c>
      <c r="K58" s="38">
        <v>11118</v>
      </c>
      <c r="L58" s="38">
        <v>10877</v>
      </c>
      <c r="M58" s="38">
        <v>11137</v>
      </c>
      <c r="N58" s="38">
        <v>10888</v>
      </c>
      <c r="O58" s="38">
        <v>10972</v>
      </c>
      <c r="P58" s="39">
        <v>10994</v>
      </c>
      <c r="Q58" s="39">
        <v>10828</v>
      </c>
      <c r="R58" s="39">
        <v>10569</v>
      </c>
      <c r="S58" s="39">
        <f>10928</f>
        <v>10928</v>
      </c>
      <c r="T58" s="39">
        <f>10838</f>
        <v>10838</v>
      </c>
      <c r="U58" s="39">
        <f>10948</f>
        <v>10948</v>
      </c>
      <c r="V58" s="39">
        <f>11294</f>
        <v>11294</v>
      </c>
      <c r="W58" s="39">
        <f>12536</f>
        <v>12536</v>
      </c>
      <c r="X58" s="39">
        <f>12618</f>
        <v>12618</v>
      </c>
      <c r="Y58" s="39">
        <f>12657</f>
        <v>12657</v>
      </c>
      <c r="Z58" s="39">
        <f>12674</f>
        <v>12674</v>
      </c>
      <c r="AA58" s="39">
        <f>12261</f>
        <v>12261</v>
      </c>
      <c r="AB58" s="39">
        <f>12317</f>
        <v>12317</v>
      </c>
      <c r="AC58" s="39">
        <f>12454</f>
        <v>12454</v>
      </c>
      <c r="AD58" s="39">
        <f>12385</f>
        <v>12385</v>
      </c>
      <c r="AE58" s="39">
        <f>11870</f>
        <v>11870</v>
      </c>
      <c r="AF58" s="39">
        <f>12621</f>
        <v>12621</v>
      </c>
      <c r="AG58" s="39">
        <f>11996</f>
        <v>11996</v>
      </c>
      <c r="AH58" s="39">
        <f>12180</f>
        <v>12180</v>
      </c>
      <c r="AI58" s="39">
        <f>11694</f>
        <v>11694</v>
      </c>
      <c r="AJ58" s="39">
        <f>12735</f>
        <v>12735</v>
      </c>
      <c r="AK58" s="39">
        <f>12875</f>
        <v>12875</v>
      </c>
      <c r="AL58" s="39">
        <f>12846</f>
        <v>12846</v>
      </c>
      <c r="AM58" s="39">
        <f>12405</f>
        <v>12405</v>
      </c>
      <c r="AN58" s="39">
        <f>12678</f>
        <v>12678</v>
      </c>
      <c r="AO58" s="39">
        <f>12378</f>
        <v>12378</v>
      </c>
      <c r="AP58" s="39">
        <f>16487</f>
        <v>16487</v>
      </c>
      <c r="AQ58" s="39">
        <v>19559</v>
      </c>
      <c r="AR58" s="39">
        <v>21038</v>
      </c>
      <c r="AS58" s="39">
        <v>21604</v>
      </c>
      <c r="AT58" s="39">
        <v>22491</v>
      </c>
      <c r="AU58" s="39">
        <v>23456</v>
      </c>
      <c r="AV58" s="39">
        <f>25540+153</f>
        <v>25693</v>
      </c>
      <c r="AW58" s="39">
        <v>25846.7</v>
      </c>
      <c r="AX58" s="39">
        <v>26494.27</v>
      </c>
      <c r="AY58" s="39">
        <v>26934.89</v>
      </c>
    </row>
    <row r="59" spans="1:51" s="28" customFormat="1">
      <c r="A59" s="29" t="s">
        <v>50</v>
      </c>
      <c r="B59" s="38"/>
      <c r="C59" s="38"/>
      <c r="D59" s="38"/>
      <c r="E59" s="38"/>
      <c r="F59" s="38"/>
      <c r="G59" s="38"/>
      <c r="H59" s="38"/>
      <c r="I59" s="38"/>
      <c r="J59" s="38">
        <v>18843</v>
      </c>
      <c r="K59" s="38">
        <v>18655</v>
      </c>
      <c r="L59" s="38">
        <v>18466</v>
      </c>
      <c r="M59" s="38">
        <v>18278</v>
      </c>
      <c r="N59" s="38">
        <v>18146</v>
      </c>
      <c r="O59" s="38">
        <v>16712.069842062399</v>
      </c>
      <c r="P59" s="39">
        <v>15044.418942057298</v>
      </c>
      <c r="Q59" s="39">
        <v>13318.283955195799</v>
      </c>
      <c r="R59" s="39">
        <v>12038.367999999999</v>
      </c>
      <c r="S59" s="39">
        <f>3088.49387931878</f>
        <v>3088.4938793187798</v>
      </c>
      <c r="T59" s="39">
        <f>3079.05072854758</f>
        <v>3079.0507285475801</v>
      </c>
      <c r="U59" s="39">
        <f>3103.96429839711</f>
        <v>3103.9642983971098</v>
      </c>
      <c r="V59" s="39">
        <f>3140.098</f>
        <v>3140.098</v>
      </c>
      <c r="W59" s="39">
        <f>2845.20894726935</f>
        <v>2845.2089472693501</v>
      </c>
      <c r="X59" s="39">
        <f>2585.1178254052</f>
        <v>2585.1178254052002</v>
      </c>
      <c r="Y59" s="39">
        <f>2302.3122491173</f>
        <v>2302.3122491172999</v>
      </c>
      <c r="Z59" s="39">
        <f>2041.16</f>
        <v>2041.16</v>
      </c>
      <c r="AA59" s="39">
        <f>1924.18255816064</f>
        <v>1924.1825581606399</v>
      </c>
      <c r="AB59" s="39">
        <f>1743.86714494899</f>
        <v>1743.86714494899</v>
      </c>
      <c r="AC59" s="39">
        <f>1653.67651425722</f>
        <v>1653.6765142572201</v>
      </c>
      <c r="AD59" s="39">
        <f>1177.735</f>
        <v>1177.7349999999999</v>
      </c>
      <c r="AE59" s="39">
        <v>1154.8220910016844</v>
      </c>
      <c r="AF59" s="39">
        <v>1118.0922420745169</v>
      </c>
      <c r="AG59" s="39">
        <v>1179.5286524695771</v>
      </c>
      <c r="AH59" s="39">
        <v>1177.2870000000003</v>
      </c>
      <c r="AI59" s="39">
        <v>1111.7856569448675</v>
      </c>
      <c r="AJ59" s="39">
        <v>1285.7748205616676</v>
      </c>
      <c r="AK59" s="39">
        <v>1256.9501479825728</v>
      </c>
      <c r="AL59" s="39">
        <v>1183.8719999999994</v>
      </c>
      <c r="AM59" s="39">
        <v>1270.0783880196791</v>
      </c>
      <c r="AN59" s="39">
        <v>1252.5764594906154</v>
      </c>
      <c r="AO59" s="39">
        <v>1307.4337081752667</v>
      </c>
      <c r="AP59" s="39">
        <v>1237.5619999999178</v>
      </c>
      <c r="AQ59" s="39">
        <v>1592.6869367939883</v>
      </c>
      <c r="AR59" s="39">
        <v>1651.9273288696502</v>
      </c>
      <c r="AS59" s="39">
        <v>1825.9353019048256</v>
      </c>
      <c r="AT59" s="39">
        <v>2045.1650000000009</v>
      </c>
      <c r="AU59" s="39">
        <v>1975.5386242343759</v>
      </c>
      <c r="AV59" s="39">
        <v>1556.9104076385661</v>
      </c>
      <c r="AW59" s="39">
        <v>1410.6544142020289</v>
      </c>
      <c r="AX59" s="39">
        <v>1302.881002037881</v>
      </c>
      <c r="AY59" s="39">
        <v>1151.3723762996492</v>
      </c>
    </row>
    <row r="60" spans="1:51" s="28" customFormat="1">
      <c r="A60" s="31" t="s">
        <v>19</v>
      </c>
      <c r="B60" s="32"/>
      <c r="C60" s="32"/>
      <c r="D60" s="32"/>
      <c r="E60" s="32"/>
      <c r="F60" s="32"/>
      <c r="G60" s="32"/>
      <c r="H60" s="32"/>
      <c r="I60" s="32"/>
      <c r="J60" s="32"/>
      <c r="K60" s="32"/>
      <c r="L60" s="39"/>
      <c r="M60" s="39"/>
      <c r="N60" s="39"/>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row>
    <row r="61" spans="1:51" s="28" customFormat="1">
      <c r="A61" s="31" t="s">
        <v>28</v>
      </c>
      <c r="B61" s="38">
        <v>697</v>
      </c>
      <c r="C61" s="38"/>
      <c r="D61" s="38"/>
      <c r="E61" s="38"/>
      <c r="F61" s="38"/>
      <c r="G61" s="38"/>
      <c r="H61" s="38"/>
      <c r="I61" s="38"/>
      <c r="J61" s="38"/>
      <c r="K61" s="38"/>
      <c r="L61" s="38"/>
      <c r="M61" s="38"/>
      <c r="N61" s="38"/>
      <c r="O61" s="38"/>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row>
    <row r="62" spans="1:51" s="28" customFormat="1">
      <c r="A62" s="31" t="s">
        <v>25</v>
      </c>
      <c r="B62" s="38"/>
      <c r="C62" s="38"/>
      <c r="D62" s="38"/>
      <c r="E62" s="38"/>
      <c r="F62" s="38"/>
      <c r="G62" s="38"/>
      <c r="H62" s="38"/>
      <c r="I62" s="38"/>
      <c r="J62" s="38"/>
      <c r="K62" s="38"/>
      <c r="L62" s="38"/>
      <c r="M62" s="38"/>
      <c r="N62" s="38"/>
      <c r="O62" s="38"/>
      <c r="P62" s="39"/>
      <c r="Q62" s="39"/>
      <c r="R62" s="39"/>
      <c r="S62" s="32">
        <v>166476.16084346769</v>
      </c>
      <c r="T62" s="32">
        <v>198018.59544264394</v>
      </c>
      <c r="U62" s="32">
        <v>236815.41829791697</v>
      </c>
      <c r="V62" s="32">
        <v>272178.23276503256</v>
      </c>
      <c r="W62" s="32">
        <v>159923.48499027372</v>
      </c>
      <c r="X62" s="32">
        <v>18057.042434214498</v>
      </c>
      <c r="Y62" s="32">
        <v>421481.606788509</v>
      </c>
      <c r="Z62" s="32">
        <v>788055.52104729426</v>
      </c>
      <c r="AA62" s="32">
        <v>821941.47217865824</v>
      </c>
      <c r="AB62" s="32">
        <v>880807.2055942869</v>
      </c>
      <c r="AC62" s="32">
        <v>947586.36440925056</v>
      </c>
      <c r="AD62" s="32">
        <v>842528.30969999998</v>
      </c>
      <c r="AE62" s="32">
        <v>836345.95767555013</v>
      </c>
      <c r="AF62" s="32">
        <v>822077.61029888294</v>
      </c>
      <c r="AG62" s="32">
        <v>811192.02316275868</v>
      </c>
      <c r="AH62" s="32">
        <v>817519.26765713317</v>
      </c>
      <c r="AI62" s="32">
        <v>833204.74519747484</v>
      </c>
      <c r="AJ62" s="32">
        <v>898253.16553425835</v>
      </c>
      <c r="AK62" s="32">
        <v>918098.71541242895</v>
      </c>
      <c r="AL62" s="32">
        <v>943500.56034368277</v>
      </c>
      <c r="AM62" s="32">
        <v>988573.25687758916</v>
      </c>
      <c r="AN62" s="32">
        <v>1043234.6437751165</v>
      </c>
      <c r="AO62" s="32">
        <v>1106554.1888876022</v>
      </c>
      <c r="AP62" s="32">
        <v>1149901.9417999999</v>
      </c>
      <c r="AQ62" s="32">
        <v>1242247.2690778547</v>
      </c>
      <c r="AR62" s="32">
        <v>1281445.4429262637</v>
      </c>
      <c r="AS62" s="32">
        <v>1236346.0526725913</v>
      </c>
      <c r="AT62" s="32">
        <v>1142732.2973999998</v>
      </c>
      <c r="AU62" s="32">
        <v>1203235.2978564522</v>
      </c>
      <c r="AV62" s="32">
        <v>1238683.0010385327</v>
      </c>
      <c r="AW62" s="32">
        <v>1260219.6290639052</v>
      </c>
      <c r="AX62" s="32">
        <v>1263405.6320334969</v>
      </c>
      <c r="AY62" s="32">
        <v>1259465.5667718726</v>
      </c>
    </row>
    <row r="63" spans="1:51" s="28" customFormat="1">
      <c r="A63" s="29" t="s">
        <v>32</v>
      </c>
      <c r="B63" s="32"/>
      <c r="C63" s="32"/>
      <c r="D63" s="32"/>
      <c r="E63" s="32"/>
      <c r="F63" s="32"/>
      <c r="G63" s="32"/>
      <c r="H63" s="32"/>
      <c r="I63" s="32"/>
      <c r="J63" s="32"/>
      <c r="K63" s="32"/>
      <c r="L63" s="33"/>
      <c r="M63" s="33"/>
      <c r="N63" s="33"/>
      <c r="O63" s="32"/>
      <c r="P63" s="32"/>
      <c r="Q63" s="32"/>
      <c r="R63" s="32"/>
      <c r="S63" s="39">
        <v>166476.16084346769</v>
      </c>
      <c r="T63" s="39">
        <v>198018.59544264394</v>
      </c>
      <c r="U63" s="39">
        <v>236815.41829791697</v>
      </c>
      <c r="V63" s="39">
        <v>272178.23276503256</v>
      </c>
      <c r="W63" s="39">
        <v>159923.48499027372</v>
      </c>
      <c r="X63" s="39">
        <v>18057.042434214498</v>
      </c>
      <c r="Y63" s="39">
        <v>421481.606788509</v>
      </c>
      <c r="Z63" s="39">
        <v>788055.52104729426</v>
      </c>
      <c r="AA63" s="39">
        <v>821941.47217865824</v>
      </c>
      <c r="AB63" s="39">
        <v>880807.2055942869</v>
      </c>
      <c r="AC63" s="39">
        <v>947586.36440925056</v>
      </c>
      <c r="AD63" s="39">
        <v>842528.30969999998</v>
      </c>
      <c r="AE63" s="39">
        <v>836345.95767555013</v>
      </c>
      <c r="AF63" s="39">
        <v>822077.61029888294</v>
      </c>
      <c r="AG63" s="39">
        <v>811192.02316275868</v>
      </c>
      <c r="AH63" s="39">
        <v>817519.26765713317</v>
      </c>
      <c r="AI63" s="39">
        <v>833204.74519747484</v>
      </c>
      <c r="AJ63" s="39">
        <v>898253.16553425835</v>
      </c>
      <c r="AK63" s="39">
        <v>918098.71541242895</v>
      </c>
      <c r="AL63" s="39">
        <v>943500.56034368277</v>
      </c>
      <c r="AM63" s="39">
        <v>988573.25687758916</v>
      </c>
      <c r="AN63" s="39">
        <v>1043234.6437751165</v>
      </c>
      <c r="AO63" s="39">
        <v>1106554.1888876022</v>
      </c>
      <c r="AP63" s="39">
        <v>1149901.9417999999</v>
      </c>
      <c r="AQ63" s="39">
        <v>1242247.2690778547</v>
      </c>
      <c r="AR63" s="39">
        <v>1281445.4429262637</v>
      </c>
      <c r="AS63" s="39">
        <v>1236346.0526725913</v>
      </c>
      <c r="AT63" s="39">
        <v>1142732.2973999998</v>
      </c>
      <c r="AU63" s="39">
        <v>1203235.2978564522</v>
      </c>
      <c r="AV63" s="39">
        <v>1238683.0010385327</v>
      </c>
      <c r="AW63" s="39">
        <v>1260219.6290639052</v>
      </c>
      <c r="AX63" s="39">
        <v>1263405.6320334969</v>
      </c>
      <c r="AY63" s="39">
        <v>1259465.5667718726</v>
      </c>
    </row>
    <row r="64" spans="1:51" s="28" customFormat="1" ht="25.5">
      <c r="A64" s="31" t="s">
        <v>29</v>
      </c>
      <c r="B64" s="32"/>
      <c r="C64" s="32"/>
      <c r="D64" s="32"/>
      <c r="E64" s="32"/>
      <c r="F64" s="32"/>
      <c r="G64" s="32"/>
      <c r="H64" s="32"/>
      <c r="I64" s="32"/>
      <c r="J64" s="32"/>
      <c r="K64" s="32"/>
      <c r="L64" s="33"/>
      <c r="M64" s="33"/>
      <c r="N64" s="33"/>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row>
    <row r="65" spans="1:51" s="28" customFormat="1">
      <c r="A65" s="31" t="s">
        <v>30</v>
      </c>
      <c r="B65" s="37">
        <v>2977141</v>
      </c>
      <c r="C65" s="37">
        <v>2929617</v>
      </c>
      <c r="D65" s="37">
        <v>2872236</v>
      </c>
      <c r="E65" s="37">
        <v>2768231</v>
      </c>
      <c r="F65" s="37">
        <v>2627221</v>
      </c>
      <c r="G65" s="37">
        <v>3862818.1099999994</v>
      </c>
      <c r="H65" s="37">
        <v>4228390.8599999994</v>
      </c>
      <c r="I65" s="37">
        <v>4637832.34</v>
      </c>
      <c r="J65" s="37">
        <v>5078701</v>
      </c>
      <c r="K65" s="37">
        <v>5190688.3</v>
      </c>
      <c r="L65" s="37">
        <v>5302675.5999999996</v>
      </c>
      <c r="M65" s="37">
        <v>5414663.9000000004</v>
      </c>
      <c r="N65" s="37">
        <v>5521928</v>
      </c>
      <c r="O65" s="37">
        <f>O66+O67</f>
        <v>4933276.8903467208</v>
      </c>
      <c r="P65" s="37">
        <f t="shared" ref="P65:AW65" si="17">P66+P67</f>
        <v>4499241.701965007</v>
      </c>
      <c r="Q65" s="37">
        <f t="shared" si="17"/>
        <v>4016565.5477754646</v>
      </c>
      <c r="R65" s="37">
        <f t="shared" si="17"/>
        <v>3461072.0645957314</v>
      </c>
      <c r="S65" s="37">
        <f t="shared" si="17"/>
        <v>3213866.9745222763</v>
      </c>
      <c r="T65" s="37">
        <f t="shared" si="17"/>
        <v>2966222.5506381346</v>
      </c>
      <c r="U65" s="37">
        <f t="shared" si="17"/>
        <v>2851433.0258517084</v>
      </c>
      <c r="V65" s="37">
        <f t="shared" si="17"/>
        <v>2585700.6653167871</v>
      </c>
      <c r="W65" s="37">
        <f t="shared" si="17"/>
        <v>3179212.7588665043</v>
      </c>
      <c r="X65" s="37">
        <f t="shared" si="17"/>
        <v>3276819.051159204</v>
      </c>
      <c r="Y65" s="37">
        <f t="shared" si="17"/>
        <v>3460612.5318816444</v>
      </c>
      <c r="Z65" s="37">
        <f t="shared" si="17"/>
        <v>3650001.1448145607</v>
      </c>
      <c r="AA65" s="37">
        <f t="shared" si="17"/>
        <v>3662340.362553671</v>
      </c>
      <c r="AB65" s="37">
        <f t="shared" si="17"/>
        <v>3755035.0718421768</v>
      </c>
      <c r="AC65" s="37">
        <f t="shared" si="17"/>
        <v>3838549.4628779558</v>
      </c>
      <c r="AD65" s="37">
        <f t="shared" si="17"/>
        <v>3893492.7079079309</v>
      </c>
      <c r="AE65" s="37">
        <f t="shared" si="17"/>
        <v>4008806.8844066467</v>
      </c>
      <c r="AF65" s="37">
        <f t="shared" si="17"/>
        <v>4079852.1921030711</v>
      </c>
      <c r="AG65" s="37">
        <f t="shared" si="17"/>
        <v>4149139.8661322598</v>
      </c>
      <c r="AH65" s="37">
        <f t="shared" si="17"/>
        <v>4278206.4840496751</v>
      </c>
      <c r="AI65" s="37">
        <f t="shared" si="17"/>
        <v>4311468.0803540684</v>
      </c>
      <c r="AJ65" s="37">
        <f t="shared" si="17"/>
        <v>4538182.7342381272</v>
      </c>
      <c r="AK65" s="37">
        <f t="shared" si="17"/>
        <v>4554645.1143831052</v>
      </c>
      <c r="AL65" s="37">
        <f t="shared" si="17"/>
        <v>4623668.0182262668</v>
      </c>
      <c r="AM65" s="37">
        <f t="shared" si="17"/>
        <v>4568944.0199399404</v>
      </c>
      <c r="AN65" s="37">
        <f t="shared" si="17"/>
        <v>4492249.380274131</v>
      </c>
      <c r="AO65" s="37">
        <f t="shared" si="17"/>
        <v>4484971.5661149798</v>
      </c>
      <c r="AP65" s="37">
        <f t="shared" si="17"/>
        <v>4338877.6944300001</v>
      </c>
      <c r="AQ65" s="37">
        <f t="shared" si="17"/>
        <v>5170409.0546727767</v>
      </c>
      <c r="AR65" s="37">
        <f t="shared" si="17"/>
        <v>3090666.634489154</v>
      </c>
      <c r="AS65" s="37">
        <f t="shared" si="17"/>
        <v>3921930.9646383864</v>
      </c>
      <c r="AT65" s="37">
        <f t="shared" si="17"/>
        <v>4911969.7144371448</v>
      </c>
      <c r="AU65" s="37">
        <f t="shared" si="17"/>
        <v>5058457.8325530067</v>
      </c>
      <c r="AV65" s="37">
        <f t="shared" si="17"/>
        <v>5308480.8935382906</v>
      </c>
      <c r="AW65" s="37">
        <f t="shared" si="17"/>
        <v>5332232.3361084387</v>
      </c>
      <c r="AX65" s="37">
        <f>AX66+AX67</f>
        <v>5435606.3987250552</v>
      </c>
      <c r="AY65" s="37">
        <f>AY66+AY67</f>
        <v>5415530.8151378557</v>
      </c>
    </row>
    <row r="66" spans="1:51" s="28" customFormat="1">
      <c r="A66" s="29" t="s">
        <v>32</v>
      </c>
      <c r="B66" s="38">
        <v>2970807</v>
      </c>
      <c r="C66" s="38">
        <v>2929617</v>
      </c>
      <c r="D66" s="38">
        <v>2872236</v>
      </c>
      <c r="E66" s="38">
        <v>2768231</v>
      </c>
      <c r="F66" s="38">
        <v>2617191</v>
      </c>
      <c r="G66" s="38">
        <v>3862818.1099999994</v>
      </c>
      <c r="H66" s="38">
        <v>4228390.8599999994</v>
      </c>
      <c r="I66" s="38">
        <v>4637832.34</v>
      </c>
      <c r="J66" s="38">
        <v>5069555</v>
      </c>
      <c r="K66" s="38">
        <v>5181085</v>
      </c>
      <c r="L66" s="38">
        <v>5292615</v>
      </c>
      <c r="M66" s="38">
        <v>5404146</v>
      </c>
      <c r="N66" s="38">
        <v>5510858</v>
      </c>
      <c r="O66" s="38">
        <v>4921210.590346721</v>
      </c>
      <c r="P66" s="39">
        <v>4485003.4679650068</v>
      </c>
      <c r="Q66" s="39">
        <v>3998482.9905954646</v>
      </c>
      <c r="R66" s="39">
        <v>3445992.6865957314</v>
      </c>
      <c r="S66" s="39">
        <v>3206137.7060500691</v>
      </c>
      <c r="T66" s="39">
        <v>2958267.0849920087</v>
      </c>
      <c r="U66" s="39">
        <v>2843099.9033746202</v>
      </c>
      <c r="V66" s="39">
        <v>2576908.5282183499</v>
      </c>
      <c r="W66" s="39">
        <v>3169683.5101822922</v>
      </c>
      <c r="X66" s="39">
        <v>3265876.1410028571</v>
      </c>
      <c r="Y66" s="39">
        <v>3448956.4666629517</v>
      </c>
      <c r="Z66" s="39">
        <v>3637420.0058145607</v>
      </c>
      <c r="AA66" s="39">
        <v>3648861.8596211411</v>
      </c>
      <c r="AB66" s="39">
        <v>3741628.843074969</v>
      </c>
      <c r="AC66" s="39">
        <v>3824149.8671902544</v>
      </c>
      <c r="AD66" s="39">
        <v>3880350.861907931</v>
      </c>
      <c r="AE66" s="39">
        <v>3995904.2590967263</v>
      </c>
      <c r="AF66" s="39">
        <v>4067419.2624908434</v>
      </c>
      <c r="AG66" s="39">
        <v>4134242.2286949214</v>
      </c>
      <c r="AH66" s="39">
        <v>4262077.6059046751</v>
      </c>
      <c r="AI66" s="39">
        <v>4295925.6936581535</v>
      </c>
      <c r="AJ66" s="39">
        <v>4522722.1519709099</v>
      </c>
      <c r="AK66" s="39">
        <v>4539520.3194942474</v>
      </c>
      <c r="AL66" s="39">
        <v>4608796.4672262669</v>
      </c>
      <c r="AM66" s="39">
        <v>4553983.1586989202</v>
      </c>
      <c r="AN66" s="39">
        <v>4477558.2565217344</v>
      </c>
      <c r="AO66" s="39">
        <v>4470377.3740962287</v>
      </c>
      <c r="AP66" s="39">
        <v>4324594.6157999998</v>
      </c>
      <c r="AQ66" s="39">
        <v>5155521.2479891321</v>
      </c>
      <c r="AR66" s="39">
        <v>3075177.0492744609</v>
      </c>
      <c r="AS66" s="39">
        <v>3905904.6950866268</v>
      </c>
      <c r="AT66" s="39">
        <v>4895458.9956</v>
      </c>
      <c r="AU66" s="39">
        <v>5041871.8663465763</v>
      </c>
      <c r="AV66" s="39">
        <v>5291612.0121271005</v>
      </c>
      <c r="AW66" s="39">
        <v>5314993.5395959979</v>
      </c>
      <c r="AX66" s="39">
        <v>5418213.8511990393</v>
      </c>
      <c r="AY66" s="39">
        <v>5398034.9139593244</v>
      </c>
    </row>
    <row r="67" spans="1:51" s="28" customFormat="1" ht="15.75" customHeight="1">
      <c r="A67" s="29" t="s">
        <v>33</v>
      </c>
      <c r="B67" s="38">
        <v>6334</v>
      </c>
      <c r="C67" s="37"/>
      <c r="D67" s="37"/>
      <c r="E67" s="37"/>
      <c r="F67" s="38">
        <v>10030</v>
      </c>
      <c r="G67" s="37"/>
      <c r="H67" s="37"/>
      <c r="I67" s="37"/>
      <c r="J67" s="38">
        <v>9146</v>
      </c>
      <c r="K67" s="38">
        <v>9603.3000000000011</v>
      </c>
      <c r="L67" s="38">
        <v>10060.6</v>
      </c>
      <c r="M67" s="38">
        <v>10517.9</v>
      </c>
      <c r="N67" s="38">
        <v>11070</v>
      </c>
      <c r="O67" s="38">
        <v>12066.300000000001</v>
      </c>
      <c r="P67" s="39">
        <v>14238.234</v>
      </c>
      <c r="Q67" s="39">
        <v>18082.55718</v>
      </c>
      <c r="R67" s="39">
        <v>15079.378000000001</v>
      </c>
      <c r="S67" s="39">
        <v>7729.2684722074464</v>
      </c>
      <c r="T67" s="39">
        <v>7955.4656461259974</v>
      </c>
      <c r="U67" s="39">
        <v>8333.1224770883273</v>
      </c>
      <c r="V67" s="39">
        <v>8792.1370984370715</v>
      </c>
      <c r="W67" s="39">
        <v>9529.2486842122944</v>
      </c>
      <c r="X67" s="39">
        <v>10942.910156346847</v>
      </c>
      <c r="Y67" s="39">
        <v>11656.065218692416</v>
      </c>
      <c r="Z67" s="39">
        <v>12581.138999999999</v>
      </c>
      <c r="AA67" s="39">
        <v>13478.502932529969</v>
      </c>
      <c r="AB67" s="39">
        <v>13406.228767207987</v>
      </c>
      <c r="AC67" s="39">
        <v>14399.595687701298</v>
      </c>
      <c r="AD67" s="39">
        <v>13141.846</v>
      </c>
      <c r="AE67" s="39">
        <v>12902.625309920302</v>
      </c>
      <c r="AF67" s="39">
        <v>12432.929612227632</v>
      </c>
      <c r="AG67" s="39">
        <v>14897.637437338559</v>
      </c>
      <c r="AH67" s="39">
        <v>16128.878144999999</v>
      </c>
      <c r="AI67" s="39">
        <v>15542.386695914985</v>
      </c>
      <c r="AJ67" s="39">
        <v>15460.582267217243</v>
      </c>
      <c r="AK67" s="39">
        <v>15124.794888857587</v>
      </c>
      <c r="AL67" s="39">
        <v>14871.550999999999</v>
      </c>
      <c r="AM67" s="39">
        <v>14960.861241020128</v>
      </c>
      <c r="AN67" s="39">
        <v>14691.123752396703</v>
      </c>
      <c r="AO67" s="39">
        <v>14594.192018751361</v>
      </c>
      <c r="AP67" s="39">
        <v>14283.078630000351</v>
      </c>
      <c r="AQ67" s="39">
        <v>14887.806683644545</v>
      </c>
      <c r="AR67" s="39">
        <v>15489.585214693298</v>
      </c>
      <c r="AS67" s="39">
        <v>16026.269551759709</v>
      </c>
      <c r="AT67" s="39">
        <v>16510.718837144785</v>
      </c>
      <c r="AU67" s="39">
        <v>16585.966206430294</v>
      </c>
      <c r="AV67" s="39">
        <v>16868.881411190501</v>
      </c>
      <c r="AW67" s="39">
        <v>17238.796512440502</v>
      </c>
      <c r="AX67" s="39">
        <v>17392.547526015504</v>
      </c>
      <c r="AY67" s="39">
        <v>17495.901178531505</v>
      </c>
    </row>
    <row r="68" spans="1:51" s="28" customFormat="1" ht="15.75" customHeight="1">
      <c r="A68" s="31" t="s">
        <v>31</v>
      </c>
      <c r="B68" s="32"/>
      <c r="C68" s="32"/>
      <c r="D68" s="32"/>
      <c r="E68" s="32"/>
      <c r="F68" s="32"/>
      <c r="G68" s="32"/>
      <c r="H68" s="32"/>
      <c r="I68" s="32"/>
      <c r="J68" s="32"/>
      <c r="K68" s="32"/>
      <c r="L68" s="33"/>
      <c r="M68" s="33"/>
      <c r="N68" s="33"/>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row>
    <row r="69" spans="1:51" s="28" customFormat="1" ht="15.75" customHeight="1">
      <c r="A69" s="31"/>
      <c r="B69" s="32"/>
      <c r="C69" s="32"/>
      <c r="D69" s="32"/>
      <c r="E69" s="32"/>
      <c r="F69" s="32"/>
      <c r="G69" s="32"/>
      <c r="H69" s="32"/>
      <c r="I69" s="32"/>
      <c r="J69" s="32"/>
      <c r="K69" s="32"/>
      <c r="L69" s="33"/>
      <c r="M69" s="33"/>
      <c r="N69" s="33"/>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row>
    <row r="70" spans="1:51" s="28" customFormat="1" ht="15.75" customHeight="1">
      <c r="A70" s="26" t="s">
        <v>58</v>
      </c>
      <c r="B70" s="26">
        <f t="shared" ref="B70:AX70" si="18">B5+B18+B31+B44</f>
        <v>4394304.0999999996</v>
      </c>
      <c r="C70" s="26">
        <f t="shared" si="18"/>
        <v>4439477.5</v>
      </c>
      <c r="D70" s="26">
        <f t="shared" si="18"/>
        <v>4525670.0999999996</v>
      </c>
      <c r="E70" s="26">
        <f t="shared" si="18"/>
        <v>4636338.2</v>
      </c>
      <c r="F70" s="26">
        <f t="shared" si="18"/>
        <v>5375739.0999999996</v>
      </c>
      <c r="G70" s="26">
        <f t="shared" si="18"/>
        <v>6334973.3783686664</v>
      </c>
      <c r="H70" s="26">
        <f t="shared" si="18"/>
        <v>6413958.0283686668</v>
      </c>
      <c r="I70" s="26">
        <f t="shared" si="18"/>
        <v>6561233.0573686678</v>
      </c>
      <c r="J70" s="26">
        <f t="shared" si="18"/>
        <v>6808481.2199999997</v>
      </c>
      <c r="K70" s="26">
        <f t="shared" si="18"/>
        <v>6903020.6040000003</v>
      </c>
      <c r="L70" s="26">
        <f t="shared" si="18"/>
        <v>7025753.4079999998</v>
      </c>
      <c r="M70" s="26">
        <f t="shared" si="18"/>
        <v>7105906.808958564</v>
      </c>
      <c r="N70" s="26">
        <f t="shared" si="18"/>
        <v>7211863.0999999996</v>
      </c>
      <c r="O70" s="26">
        <f t="shared" si="18"/>
        <v>6964985.4830593728</v>
      </c>
      <c r="P70" s="26">
        <f t="shared" si="18"/>
        <v>6209271.0542800836</v>
      </c>
      <c r="Q70" s="26">
        <f t="shared" si="18"/>
        <v>5974161.7733510062</v>
      </c>
      <c r="R70" s="26">
        <f t="shared" si="18"/>
        <v>5606831.7876366908</v>
      </c>
      <c r="S70" s="26">
        <f t="shared" si="18"/>
        <v>5401102.481441577</v>
      </c>
      <c r="T70" s="26">
        <f t="shared" si="18"/>
        <v>5068052.0998331038</v>
      </c>
      <c r="U70" s="26">
        <f t="shared" si="18"/>
        <v>4982330.7758950321</v>
      </c>
      <c r="V70" s="26">
        <f t="shared" si="18"/>
        <v>4681813.7083862582</v>
      </c>
      <c r="W70" s="26">
        <f t="shared" si="18"/>
        <v>5532105.5557507873</v>
      </c>
      <c r="X70" s="26">
        <f t="shared" si="18"/>
        <v>5515448.1713226382</v>
      </c>
      <c r="Y70" s="26">
        <f t="shared" si="18"/>
        <v>6011373.2561676688</v>
      </c>
      <c r="Z70" s="26">
        <f t="shared" si="18"/>
        <v>6497238.5586616863</v>
      </c>
      <c r="AA70" s="26">
        <f t="shared" si="18"/>
        <v>6557249.7915894696</v>
      </c>
      <c r="AB70" s="26">
        <f t="shared" si="18"/>
        <v>6734268.0198086705</v>
      </c>
      <c r="AC70" s="26">
        <f t="shared" si="18"/>
        <v>6998481.1176836891</v>
      </c>
      <c r="AD70" s="26">
        <f t="shared" si="18"/>
        <v>7064581.4631477045</v>
      </c>
      <c r="AE70" s="26">
        <f t="shared" si="18"/>
        <v>7250684.0999399582</v>
      </c>
      <c r="AF70" s="26">
        <f t="shared" si="18"/>
        <v>7370642.9855071697</v>
      </c>
      <c r="AG70" s="26">
        <f t="shared" si="18"/>
        <v>7485575.13947134</v>
      </c>
      <c r="AH70" s="26">
        <f t="shared" si="18"/>
        <v>7694271.4427908594</v>
      </c>
      <c r="AI70" s="26">
        <f t="shared" si="18"/>
        <v>7708095.7542002555</v>
      </c>
      <c r="AJ70" s="26">
        <f t="shared" si="18"/>
        <v>8017816.2529532667</v>
      </c>
      <c r="AK70" s="26">
        <f t="shared" si="18"/>
        <v>7998449.6605678797</v>
      </c>
      <c r="AL70" s="26">
        <f t="shared" si="18"/>
        <v>8084355.9303247491</v>
      </c>
      <c r="AM70" s="26">
        <f t="shared" si="18"/>
        <v>8084055.8285108162</v>
      </c>
      <c r="AN70" s="26">
        <f t="shared" si="18"/>
        <v>8078930.7611060292</v>
      </c>
      <c r="AO70" s="26">
        <f t="shared" si="18"/>
        <v>8183232.5102247149</v>
      </c>
      <c r="AP70" s="26">
        <f t="shared" si="18"/>
        <v>8082482.9951265082</v>
      </c>
      <c r="AQ70" s="26">
        <f t="shared" si="18"/>
        <v>9223996.9856974259</v>
      </c>
      <c r="AR70" s="26">
        <f t="shared" si="18"/>
        <v>7307878.4451535754</v>
      </c>
      <c r="AS70" s="26">
        <f t="shared" si="18"/>
        <v>8082719.3910418041</v>
      </c>
      <c r="AT70" s="26">
        <f t="shared" si="18"/>
        <v>8869580.2573646363</v>
      </c>
      <c r="AU70" s="26">
        <f t="shared" si="18"/>
        <v>9205136.1322808415</v>
      </c>
      <c r="AV70" s="26">
        <f t="shared" si="18"/>
        <v>9668724.0857290737</v>
      </c>
      <c r="AW70" s="26">
        <f t="shared" si="18"/>
        <v>9716529.9185291566</v>
      </c>
      <c r="AX70" s="26">
        <f t="shared" si="18"/>
        <v>9902259.3514003623</v>
      </c>
      <c r="AY70" s="26">
        <f>AY5+AY18+AY31+AY44</f>
        <v>9931525.7929784078</v>
      </c>
    </row>
    <row r="71" spans="1:51" s="42" customFormat="1" ht="11.25" customHeight="1">
      <c r="A71" s="40"/>
      <c r="B71" s="41"/>
      <c r="T71" s="41"/>
      <c r="U71" s="41"/>
    </row>
    <row r="72" spans="1:51" s="7" customFormat="1" ht="14.25">
      <c r="A72" s="43" t="s">
        <v>59</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row>
    <row r="73" spans="1:51" s="7" customFormat="1" ht="14.25">
      <c r="A73" s="43" t="s">
        <v>60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row>
    <row r="74" spans="1:51" s="7" customFormat="1" ht="14.25">
      <c r="A74" s="43" t="s">
        <v>61</v>
      </c>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row>
    <row r="75" spans="1:51" s="7" customFormat="1" ht="39" customHeight="1">
      <c r="A75" s="44" t="s">
        <v>62</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row>
    <row r="76" spans="1:51" s="7" customFormat="1" ht="14.25">
      <c r="A76" s="45" t="s">
        <v>63</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row>
    <row r="77" spans="1:51" s="7" customFormat="1" ht="13.5" customHeight="1">
      <c r="A77" s="43" t="s">
        <v>64</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row>
    <row r="78" spans="1:51" s="7" customFormat="1">
      <c r="A78" s="4"/>
      <c r="B78" s="4"/>
      <c r="C78" s="4"/>
      <c r="D78" s="4"/>
      <c r="E78" s="4"/>
      <c r="F78" s="4"/>
      <c r="G78" s="4"/>
      <c r="H78" s="4"/>
      <c r="I78" s="4"/>
      <c r="J78" s="4"/>
      <c r="K78" s="4"/>
      <c r="L78" s="4"/>
      <c r="M78" s="4"/>
      <c r="N78" s="4"/>
      <c r="O78" s="4"/>
      <c r="P78" s="4"/>
      <c r="Q78" s="4"/>
    </row>
    <row r="79" spans="1:51" s="7" customFormat="1">
      <c r="K79" s="46"/>
      <c r="O79" s="47"/>
      <c r="P79" s="47"/>
      <c r="Q79" s="47"/>
      <c r="R79" s="47"/>
      <c r="S79" s="47"/>
      <c r="T79" s="47"/>
      <c r="U79" s="47"/>
      <c r="V79" s="47"/>
      <c r="W79" s="47"/>
      <c r="X79" s="47"/>
      <c r="Y79" s="47"/>
      <c r="Z79" s="47"/>
      <c r="AA79" s="47"/>
    </row>
    <row r="80" spans="1:51" s="7" customFormat="1">
      <c r="K80" s="46"/>
      <c r="O80" s="47"/>
      <c r="P80" s="47"/>
      <c r="Q80" s="47"/>
      <c r="R80" s="47"/>
      <c r="S80" s="47"/>
      <c r="T80" s="47"/>
      <c r="U80" s="47"/>
      <c r="V80" s="47"/>
      <c r="W80" s="47"/>
      <c r="X80" s="47"/>
      <c r="Y80" s="47"/>
      <c r="Z80" s="47"/>
      <c r="AA80" s="47"/>
    </row>
    <row r="81" spans="2:40" s="7" customFormat="1">
      <c r="K81" s="46"/>
      <c r="O81" s="48"/>
      <c r="P81" s="48"/>
      <c r="Q81" s="48"/>
      <c r="R81" s="48"/>
      <c r="S81" s="48"/>
      <c r="T81" s="48"/>
      <c r="U81" s="48"/>
      <c r="V81" s="48"/>
      <c r="W81" s="48"/>
      <c r="X81" s="48"/>
      <c r="Y81" s="48"/>
    </row>
    <row r="82" spans="2:40" s="7" customFormat="1">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row>
    <row r="83" spans="2:40" s="7" customFormat="1">
      <c r="K83" s="46"/>
      <c r="O83" s="49"/>
      <c r="P83" s="49"/>
      <c r="Q83" s="49"/>
      <c r="R83" s="49"/>
      <c r="S83" s="49"/>
      <c r="T83" s="49"/>
      <c r="U83" s="49"/>
      <c r="V83" s="49"/>
      <c r="W83" s="49"/>
      <c r="X83" s="49"/>
      <c r="Y83" s="49"/>
    </row>
    <row r="84" spans="2:40" s="7" customFormat="1">
      <c r="K84" s="46"/>
      <c r="O84" s="5"/>
      <c r="P84" s="5"/>
      <c r="Q84" s="5"/>
      <c r="R84" s="5"/>
      <c r="S84" s="5"/>
      <c r="T84" s="5"/>
      <c r="U84" s="5"/>
      <c r="V84" s="5"/>
      <c r="W84" s="5"/>
      <c r="X84" s="5"/>
      <c r="Y84" s="5"/>
      <c r="Z84" s="5"/>
      <c r="AA84" s="5"/>
    </row>
    <row r="85" spans="2:40" s="7" customFormat="1">
      <c r="K85" s="46"/>
    </row>
    <row r="86" spans="2:40" s="7" customFormat="1">
      <c r="K86" s="46"/>
      <c r="O86" s="49"/>
      <c r="P86" s="49"/>
      <c r="Q86" s="49"/>
      <c r="R86" s="49"/>
      <c r="S86" s="49"/>
      <c r="T86" s="49"/>
      <c r="U86" s="49"/>
      <c r="V86" s="49"/>
      <c r="W86" s="49"/>
      <c r="X86" s="49"/>
      <c r="Y86" s="49"/>
    </row>
    <row r="87" spans="2:40" s="7" customFormat="1">
      <c r="K87" s="46"/>
      <c r="AA87" s="50">
        <f>AA84-AA82</f>
        <v>0</v>
      </c>
    </row>
    <row r="88" spans="2:40" s="7" customFormat="1">
      <c r="K88" s="46"/>
    </row>
    <row r="89" spans="2:40" s="7" customFormat="1">
      <c r="K89" s="46"/>
      <c r="O89" s="49"/>
      <c r="P89" s="49"/>
      <c r="Q89" s="49"/>
      <c r="R89" s="49"/>
      <c r="S89" s="49"/>
      <c r="T89" s="49"/>
      <c r="U89" s="49"/>
      <c r="V89" s="49"/>
      <c r="W89" s="49"/>
      <c r="X89" s="49"/>
      <c r="Y89" s="49"/>
    </row>
  </sheetData>
  <mergeCells count="19">
    <mergeCell ref="A75:AY75"/>
    <mergeCell ref="A76:AY76"/>
    <mergeCell ref="A77:AY77"/>
    <mergeCell ref="AU3:AX3"/>
    <mergeCell ref="A1:AY1"/>
    <mergeCell ref="A72:AY72"/>
    <mergeCell ref="A73:AY73"/>
    <mergeCell ref="O3:R3"/>
    <mergeCell ref="C3:F3"/>
    <mergeCell ref="AQ3:AT3"/>
    <mergeCell ref="AE3:AH3"/>
    <mergeCell ref="AI3:AL3"/>
    <mergeCell ref="G3:J3"/>
    <mergeCell ref="K3:N3"/>
    <mergeCell ref="AM3:AP3"/>
    <mergeCell ref="AA3:AD3"/>
    <mergeCell ref="W3:Z3"/>
    <mergeCell ref="S3:U3"/>
    <mergeCell ref="A74:AY74"/>
  </mergeCells>
  <pageMargins left="0.70866141732283472" right="0.70866141732283472" top="0.74803149606299213" bottom="0.7480314960629921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8626E2-6508-4F00-B738-84DFD6187102}">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9A8CD70-5E74-4D36-A1C7-A65881319522}">
  <ds:schemaRefs>
    <ds:schemaRef ds:uri="http://schemas.microsoft.com/sharepoint/v3/contenttype/forms"/>
  </ds:schemaRefs>
</ds:datastoreItem>
</file>

<file path=customXml/itemProps3.xml><?xml version="1.0" encoding="utf-8"?>
<ds:datastoreItem xmlns:ds="http://schemas.openxmlformats.org/officeDocument/2006/customXml" ds:itemID="{CE848AB6-8D52-4C6C-8FD4-BBE361406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GED</vt:lpstr>
      <vt:lpstr>GED!Print_Area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 Mohesh</dc:creator>
  <cp:lastModifiedBy>Teckranee Baichoo</cp:lastModifiedBy>
  <cp:lastPrinted>2021-04-30T06:16:54Z</cp:lastPrinted>
  <dcterms:created xsi:type="dcterms:W3CDTF">2012-04-26T05:24:10Z</dcterms:created>
  <dcterms:modified xsi:type="dcterms:W3CDTF">2022-04-29T10:34:54Z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0x0101007E64ADB13EAD0244AD330F302E84D579</vt:lpwstr>
  </property>
</Properties>
</file>