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GED" sheetId="1" r:id="rId1"/>
  </sheets>
  <externalReferences>
    <externalReference r:id="rId4"/>
    <externalReference r:id="rId5"/>
    <externalReference r:id="rId6"/>
    <externalReference r:id="rId7"/>
    <externalReference r:id="rId8"/>
    <externalReference r:id="rId9"/>
  </externalReferences>
  <definedNames>
    <definedName name="_bdm1">#REF!</definedName>
    <definedName name="a">'[1]10'!#REF!</definedName>
    <definedName name="aa">'[1]10'!#REF!</definedName>
    <definedName name="bb">'[2]10'!#REF!</definedName>
    <definedName name="BDM">#REF!</definedName>
    <definedName name="BDMM">#REF!</definedName>
    <definedName name="capital">'[3]Static'!$B$3</definedName>
    <definedName name="client">#REF!</definedName>
    <definedName name="data_8.4">#REF!</definedName>
    <definedName name="DATE">#REF!</definedName>
    <definedName name="DBML">#REF!</definedName>
    <definedName name="ftykffk">'[2]10'!#REF!</definedName>
    <definedName name="G">#REF!</definedName>
    <definedName name="high">'[3]Loanstats'!$S$4:$Y$38</definedName>
    <definedName name="I">#REF!</definedName>
    <definedName name="II">'[1]10'!#REF!</definedName>
    <definedName name="III">'[1]10'!#REF!</definedName>
    <definedName name="interest">'[4]depoStats'!$B$2:$H$50</definedName>
    <definedName name="INTERESTLOAN">'[3]Loanstats'!$C$3:$I$36</definedName>
    <definedName name="IV">'[1]10'!#REF!</definedName>
    <definedName name="LIST">'[5]List'!$A$11:$E$963</definedName>
    <definedName name="loan">'[3]Loan'!$Q$15:$Q$127</definedName>
    <definedName name="MUR">'[6]Input Sheet'!$B$4</definedName>
    <definedName name="MUR_loan">'[3]Loan'!$Q$15:$Q$133</definedName>
    <definedName name="MURCol">'[3]Deposits'!$AC$15:$AC$773</definedName>
    <definedName name="OtherCCY">'[4]depoStats'!$J$2:$O$50</definedName>
    <definedName name="OTHERCCY_Loan">'[3]Loanstats'!$K$3:$P$27</definedName>
    <definedName name="OUTPUT">#REF!</definedName>
    <definedName name="_xlnm.Print_Area" localSheetId="0">'GED'!$A$1:$BC$76</definedName>
    <definedName name="PRINT_AREA_MI">#REF!</definedName>
    <definedName name="sector">'[4]8SDM'!$A$11:$B$153</definedName>
    <definedName name="USD">'[4]Static'!$B$8</definedName>
    <definedName name="V">'[1]10'!#REF!</definedName>
    <definedName name="VI">'[1]10'!#REF!</definedName>
    <definedName name="VII">'[1]10'!#REF!</definedName>
    <definedName name="vvv">'[2]10'!#REF!</definedName>
    <definedName name="wrn.Dept._.reporting." hidden="1">{#N/A,#N/A,TRUE,"Table1USD";#N/A,#N/A,TRUE,"Table1GBP"}</definedName>
  </definedNames>
  <calcPr fullCalcOnLoad="1"/>
</workbook>
</file>

<file path=xl/sharedStrings.xml><?xml version="1.0" encoding="utf-8"?>
<sst xmlns="http://schemas.openxmlformats.org/spreadsheetml/2006/main" count="119" uniqueCount="60">
  <si>
    <t>Gross External Debt Position by Sector</t>
  </si>
  <si>
    <t>Rs Million</t>
  </si>
  <si>
    <t xml:space="preserve">   Short-term</t>
  </si>
  <si>
    <t xml:space="preserve">       Money market instruments</t>
  </si>
  <si>
    <t xml:space="preserve">       Loans</t>
  </si>
  <si>
    <t xml:space="preserve">      Trade credits</t>
  </si>
  <si>
    <t xml:space="preserve">       Other debt liabilities</t>
  </si>
  <si>
    <t xml:space="preserve">  Long-term</t>
  </si>
  <si>
    <t xml:space="preserve">       Bonds and notes</t>
  </si>
  <si>
    <t xml:space="preserve">       Trade credits</t>
  </si>
  <si>
    <t>Monetary Authorities</t>
  </si>
  <si>
    <t xml:space="preserve">  Short-term</t>
  </si>
  <si>
    <t xml:space="preserve">      Money market instruments</t>
  </si>
  <si>
    <t xml:space="preserve">      Loans</t>
  </si>
  <si>
    <t xml:space="preserve">      Currency and deposits</t>
  </si>
  <si>
    <t xml:space="preserve">      Other debt liabilities</t>
  </si>
  <si>
    <t xml:space="preserve">     Bonds and notes</t>
  </si>
  <si>
    <t xml:space="preserve">     Loans</t>
  </si>
  <si>
    <t xml:space="preserve">     Currency and deposits</t>
  </si>
  <si>
    <t>Other Deposit Taking institutions</t>
  </si>
  <si>
    <t xml:space="preserve">    Money market instruments</t>
  </si>
  <si>
    <t xml:space="preserve">    Loans</t>
  </si>
  <si>
    <t xml:space="preserve">    Currency and deposits</t>
  </si>
  <si>
    <t xml:space="preserve">    Bonds and notes</t>
  </si>
  <si>
    <t xml:space="preserve">     Other debt liabilities</t>
  </si>
  <si>
    <t xml:space="preserve">     Money market instruments</t>
  </si>
  <si>
    <t xml:space="preserve">    Trade credits</t>
  </si>
  <si>
    <t xml:space="preserve">     Trade credits</t>
  </si>
  <si>
    <t xml:space="preserve">      Direct Investment: Intercompany Lending</t>
  </si>
  <si>
    <t xml:space="preserve">      Debt liabilities to affiliated enterprises</t>
  </si>
  <si>
    <t xml:space="preserve">      Debt liabilities to direct investors</t>
  </si>
  <si>
    <t xml:space="preserve">          o/w Global Business</t>
  </si>
  <si>
    <t xml:space="preserve">          o/w Other </t>
  </si>
  <si>
    <t xml:space="preserve">     Other debt liabilities </t>
  </si>
  <si>
    <t xml:space="preserve">    Other debt liabilities </t>
  </si>
  <si>
    <t xml:space="preserve">1st Quarter </t>
  </si>
  <si>
    <t xml:space="preserve">2nd Quarter </t>
  </si>
  <si>
    <t xml:space="preserve">3rd Quarter </t>
  </si>
  <si>
    <r>
      <t>4th Quarter</t>
    </r>
    <r>
      <rPr>
        <b/>
        <vertAlign val="superscript"/>
        <sz val="10"/>
        <rFont val="Times New Roman"/>
        <family val="1"/>
      </rPr>
      <t xml:space="preserve"> </t>
    </r>
  </si>
  <si>
    <r>
      <t>2nd Quarter</t>
    </r>
    <r>
      <rPr>
        <b/>
        <vertAlign val="superscript"/>
        <sz val="10"/>
        <rFont val="Times New Roman"/>
        <family val="1"/>
      </rPr>
      <t xml:space="preserve"> </t>
    </r>
  </si>
  <si>
    <r>
      <t xml:space="preserve">       Loans </t>
    </r>
    <r>
      <rPr>
        <i/>
        <sz val="10"/>
        <rFont val="Times New Roman"/>
        <family val="1"/>
      </rPr>
      <t>(Including EBU)</t>
    </r>
  </si>
  <si>
    <t>Short-term</t>
  </si>
  <si>
    <t>3rd Quarter</t>
  </si>
  <si>
    <t>4th Quarter</t>
  </si>
  <si>
    <t>1st Quarter</t>
  </si>
  <si>
    <t>2nd Quarter</t>
  </si>
  <si>
    <t>Other Sectors</t>
  </si>
  <si>
    <t xml:space="preserve">                 Other</t>
  </si>
  <si>
    <t xml:space="preserve">                 Public Enterprise</t>
  </si>
  <si>
    <t xml:space="preserve">                Other </t>
  </si>
  <si>
    <t xml:space="preserve">4th Quarter </t>
  </si>
  <si>
    <r>
      <rPr>
        <i/>
        <vertAlign val="superscript"/>
        <sz val="10"/>
        <rFont val="Times New Roman"/>
        <family val="1"/>
      </rPr>
      <t>1</t>
    </r>
    <r>
      <rPr>
        <i/>
        <sz val="10"/>
        <rFont val="Times New Roman"/>
        <family val="1"/>
      </rPr>
      <t xml:space="preserve"> Provisional</t>
    </r>
  </si>
  <si>
    <r>
      <rPr>
        <i/>
        <vertAlign val="superscript"/>
        <sz val="10"/>
        <rFont val="Times New Roman"/>
        <family val="1"/>
      </rPr>
      <t>2</t>
    </r>
    <r>
      <rPr>
        <i/>
        <sz val="10"/>
        <rFont val="Times New Roman"/>
        <family val="1"/>
      </rPr>
      <t xml:space="preserve"> Includes allocation of an additional amount of some SDR 136 M (Rs 8.2 billion) made by IMF to Mauritius in August 2021</t>
    </r>
  </si>
  <si>
    <r>
      <rPr>
        <i/>
        <vertAlign val="superscript"/>
        <sz val="10"/>
        <rFont val="Times New Roman"/>
        <family val="1"/>
      </rPr>
      <t xml:space="preserve">3 </t>
    </r>
    <r>
      <rPr>
        <i/>
        <sz val="10"/>
        <rFont val="Times New Roman"/>
        <family val="1"/>
      </rPr>
      <t xml:space="preserve">In line with the recommendation of IMF, the coverage of Gross External Debt has been extended. The cross border transactions of global business entitities are being included as part of Gross External Debt since December 2009.  To maintain consistency, the external positions of deposit taking institutions and monetary authorities are also included in the Gross External Debt. </t>
    </r>
  </si>
  <si>
    <r>
      <rPr>
        <i/>
        <vertAlign val="superscript"/>
        <sz val="10"/>
        <rFont val="Times New Roman"/>
        <family val="1"/>
      </rPr>
      <t>4</t>
    </r>
    <r>
      <rPr>
        <i/>
        <sz val="10"/>
        <rFont val="Times New Roman"/>
        <family val="1"/>
      </rPr>
      <t xml:space="preserve"> General Government Debt and Public Enterprise Debt do not include other Accounts Payable.</t>
    </r>
  </si>
  <si>
    <r>
      <rPr>
        <i/>
        <vertAlign val="superscript"/>
        <sz val="10"/>
        <rFont val="Times New Roman"/>
        <family val="1"/>
      </rPr>
      <t xml:space="preserve">5 </t>
    </r>
    <r>
      <rPr>
        <i/>
        <sz val="10"/>
        <rFont val="Times New Roman"/>
        <family val="1"/>
      </rPr>
      <t>Figures may not add up to totals due to rounding</t>
    </r>
  </si>
  <si>
    <t>General Government</t>
  </si>
  <si>
    <r>
      <t xml:space="preserve">       Other debt liabilities</t>
    </r>
    <r>
      <rPr>
        <vertAlign val="superscript"/>
        <sz val="10"/>
        <rFont val="Times New Roman"/>
        <family val="1"/>
      </rPr>
      <t>2</t>
    </r>
  </si>
  <si>
    <r>
      <t>Gross External Debt</t>
    </r>
    <r>
      <rPr>
        <b/>
        <vertAlign val="superscript"/>
        <sz val="10"/>
        <rFont val="Times New Roman"/>
        <family val="1"/>
      </rPr>
      <t>3</t>
    </r>
  </si>
  <si>
    <r>
      <t>1st Quarter</t>
    </r>
    <r>
      <rPr>
        <b/>
        <vertAlign val="superscript"/>
        <sz val="10"/>
        <rFont val="Times New Roman"/>
        <family val="1"/>
      </rPr>
      <t>1</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</si>
</sst>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quot;Rs&quot;* #,##0.00_-;\-&quot;Rs&quot;* #,##0.00_-;_-&quot;Rs&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 ;\(#,##0\)"/>
    <numFmt numFmtId="180" formatCode="dd\-mmm\-yy_)"/>
    <numFmt numFmtId="181" formatCode="0.000000_)"/>
    <numFmt numFmtId="182" formatCode="_(* #,##0.0_);_(* \(#,##0.0\);_(* &quot;-&quot;??_);_(@_)"/>
    <numFmt numFmtId="183" formatCode="0.0"/>
    <numFmt numFmtId="184" formatCode="#,##0.000000000000000000000"/>
    <numFmt numFmtId="185" formatCode="_(* #,##0.000_);_(* \(#,##0.000\);_(* &quot;-&quot;??_);_(@_)"/>
    <numFmt numFmtId="186" formatCode="_(* #,##0.0000_);_(* \(#,##0.0000\);_(* &quot;-&quot;??_);_(@_)"/>
    <numFmt numFmtId="187" formatCode="_(* #,##0.00000_);_(* \(#,##0.00000\);_(* &quot;-&quot;??_);_(@_)"/>
    <numFmt numFmtId="188" formatCode="_(* #,##0_);_(* \(#,##0\);_(* &quot;-&quot;??_);_(@_)"/>
    <numFmt numFmtId="189" formatCode="#,##0.0000000000"/>
    <numFmt numFmtId="190" formatCode="#,##0.000"/>
    <numFmt numFmtId="191" formatCode="#,##0.00000000"/>
    <numFmt numFmtId="192" formatCode="#,##0.0000000"/>
    <numFmt numFmtId="193" formatCode="#,##0.000000"/>
    <numFmt numFmtId="194" formatCode="#,##0.00000"/>
    <numFmt numFmtId="195" formatCode="#,##0.0000"/>
  </numFmts>
  <fonts count="51">
    <font>
      <sz val="10"/>
      <name val="Arial"/>
      <family val="0"/>
    </font>
    <font>
      <sz val="11"/>
      <color indexed="8"/>
      <name val="Calibri"/>
      <family val="2"/>
    </font>
    <font>
      <b/>
      <sz val="10"/>
      <color indexed="17"/>
      <name val="Arial"/>
      <family val="2"/>
    </font>
    <font>
      <sz val="10"/>
      <color indexed="12"/>
      <name val="CG Times (W1)"/>
      <family val="0"/>
    </font>
    <font>
      <b/>
      <sz val="10"/>
      <color indexed="12"/>
      <name val="Arial"/>
      <family val="2"/>
    </font>
    <font>
      <b/>
      <sz val="10"/>
      <color indexed="14"/>
      <name val="Arial"/>
      <family val="2"/>
    </font>
    <font>
      <sz val="10"/>
      <name val="Times New Roman"/>
      <family val="1"/>
    </font>
    <font>
      <b/>
      <sz val="10"/>
      <color indexed="8"/>
      <name val="Arial"/>
      <family val="2"/>
    </font>
    <font>
      <b/>
      <sz val="10"/>
      <name val="Times New Roman"/>
      <family val="1"/>
    </font>
    <font>
      <b/>
      <vertAlign val="superscript"/>
      <sz val="10"/>
      <name val="Times New Roman"/>
      <family val="1"/>
    </font>
    <font>
      <i/>
      <sz val="10"/>
      <name val="Times New Roman"/>
      <family val="1"/>
    </font>
    <font>
      <b/>
      <sz val="11"/>
      <name val="Times New Roman"/>
      <family val="1"/>
    </font>
    <font>
      <sz val="11"/>
      <name val="Times New Roman"/>
      <family val="1"/>
    </font>
    <font>
      <i/>
      <vertAlign val="superscript"/>
      <sz val="10"/>
      <name val="Times New Roman"/>
      <family val="1"/>
    </font>
    <font>
      <vertAlign val="superscript"/>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n"/>
      <right style="thin"/>
      <top/>
      <bottom style="thin"/>
    </border>
    <border>
      <left/>
      <right style="thin"/>
      <top style="thin"/>
      <bottom style="thin"/>
    </border>
    <border>
      <left/>
      <right/>
      <top/>
      <bottom style="thin"/>
    </border>
    <border>
      <left style="thin"/>
      <right/>
      <top style="thin"/>
      <bottom style="thin"/>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9" fontId="2" fillId="0" borderId="0">
      <alignment/>
      <protection/>
    </xf>
    <xf numFmtId="176" fontId="0" fillId="0" borderId="0" applyFont="0" applyFill="0" applyBorder="0" applyAlignment="0" applyProtection="0"/>
    <xf numFmtId="174" fontId="0" fillId="0" borderId="0" applyFont="0" applyFill="0" applyBorder="0" applyAlignment="0" applyProtection="0"/>
    <xf numFmtId="180" fontId="3" fillId="0" borderId="3" applyNumberFormat="0" applyFill="0" applyBorder="0" applyAlignment="0">
      <protection locked="0"/>
    </xf>
    <xf numFmtId="179" fontId="4" fillId="0" borderId="0">
      <alignment/>
      <protection locked="0"/>
    </xf>
    <xf numFmtId="179" fontId="4" fillId="0" borderId="0">
      <alignment horizontal="center"/>
      <protection locked="0"/>
    </xf>
    <xf numFmtId="181" fontId="5"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32"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6" fillId="0" borderId="0">
      <alignment/>
      <protection/>
    </xf>
    <xf numFmtId="179" fontId="7" fillId="0" borderId="10">
      <alignment/>
      <protection/>
    </xf>
    <xf numFmtId="179" fontId="7" fillId="0" borderId="0">
      <alignment/>
      <protection/>
    </xf>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52">
    <xf numFmtId="0" fontId="0" fillId="0" borderId="0" xfId="0" applyAlignment="1">
      <alignment/>
    </xf>
    <xf numFmtId="178" fontId="10" fillId="0" borderId="10" xfId="0" applyNumberFormat="1" applyFont="1" applyFill="1" applyBorder="1" applyAlignment="1">
      <alignment vertical="center" wrapText="1"/>
    </xf>
    <xf numFmtId="3" fontId="10" fillId="0" borderId="10" xfId="0" applyNumberFormat="1" applyFont="1" applyFill="1" applyBorder="1" applyAlignment="1">
      <alignment vertical="center"/>
    </xf>
    <xf numFmtId="0" fontId="6" fillId="0" borderId="0" xfId="0" applyFont="1" applyFill="1" applyAlignment="1">
      <alignment vertical="center"/>
    </xf>
    <xf numFmtId="178" fontId="6" fillId="0" borderId="10" xfId="0" applyNumberFormat="1" applyFont="1" applyFill="1" applyBorder="1" applyAlignment="1">
      <alignment vertical="center" wrapText="1"/>
    </xf>
    <xf numFmtId="178" fontId="6" fillId="0" borderId="10" xfId="0" applyNumberFormat="1" applyFont="1" applyFill="1" applyBorder="1" applyAlignment="1">
      <alignment vertical="center"/>
    </xf>
    <xf numFmtId="178" fontId="6" fillId="0" borderId="10" xfId="0" applyNumberFormat="1" applyFont="1" applyFill="1" applyBorder="1" applyAlignment="1">
      <alignment horizontal="right" vertical="center" wrapText="1"/>
    </xf>
    <xf numFmtId="178" fontId="10" fillId="0" borderId="10" xfId="0" applyNumberFormat="1" applyFont="1" applyFill="1" applyBorder="1" applyAlignment="1">
      <alignment vertical="center"/>
    </xf>
    <xf numFmtId="3" fontId="6" fillId="0" borderId="10" xfId="0" applyNumberFormat="1" applyFont="1" applyFill="1" applyBorder="1" applyAlignment="1">
      <alignment vertical="center"/>
    </xf>
    <xf numFmtId="0" fontId="8" fillId="0" borderId="0" xfId="67" applyFont="1" applyFill="1" applyBorder="1" applyAlignment="1">
      <alignment horizontal="center" vertical="center" wrapText="1"/>
      <protection/>
    </xf>
    <xf numFmtId="0" fontId="6" fillId="0" borderId="0" xfId="0" applyFont="1" applyFill="1" applyAlignment="1">
      <alignment/>
    </xf>
    <xf numFmtId="0" fontId="8" fillId="0" borderId="10" xfId="67"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178" fontId="8" fillId="0" borderId="10" xfId="0" applyNumberFormat="1" applyFont="1" applyFill="1" applyBorder="1" applyAlignment="1">
      <alignment vertical="center" wrapText="1"/>
    </xf>
    <xf numFmtId="0" fontId="6" fillId="0" borderId="10" xfId="0" applyFont="1" applyFill="1" applyBorder="1" applyAlignment="1">
      <alignment vertical="center"/>
    </xf>
    <xf numFmtId="183" fontId="6" fillId="0" borderId="10" xfId="0" applyNumberFormat="1" applyFont="1" applyFill="1" applyBorder="1" applyAlignment="1">
      <alignment vertical="center"/>
    </xf>
    <xf numFmtId="178" fontId="6" fillId="0" borderId="10"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wrapText="1"/>
    </xf>
    <xf numFmtId="182" fontId="6" fillId="0" borderId="10" xfId="42" applyNumberFormat="1" applyFont="1" applyFill="1" applyBorder="1" applyAlignment="1">
      <alignment vertical="center"/>
    </xf>
    <xf numFmtId="178" fontId="6" fillId="0" borderId="10" xfId="42" applyNumberFormat="1" applyFont="1" applyFill="1" applyBorder="1" applyAlignment="1">
      <alignment vertical="center"/>
    </xf>
    <xf numFmtId="178" fontId="6" fillId="0" borderId="10" xfId="42" applyNumberFormat="1" applyFont="1" applyFill="1" applyBorder="1" applyAlignment="1">
      <alignment horizontal="right" vertical="center" wrapText="1"/>
    </xf>
    <xf numFmtId="0" fontId="12" fillId="0" borderId="0" xfId="0" applyFont="1" applyFill="1" applyAlignment="1">
      <alignment horizontal="left" indent="4"/>
    </xf>
    <xf numFmtId="178" fontId="12" fillId="0" borderId="0" xfId="0" applyNumberFormat="1" applyFont="1" applyFill="1" applyAlignment="1">
      <alignment/>
    </xf>
    <xf numFmtId="0" fontId="12" fillId="0" borderId="0" xfId="0" applyFont="1" applyFill="1" applyAlignment="1">
      <alignment/>
    </xf>
    <xf numFmtId="0" fontId="50" fillId="0" borderId="0" xfId="0" applyFont="1" applyFill="1" applyAlignment="1">
      <alignment horizontal="center"/>
    </xf>
    <xf numFmtId="0" fontId="6" fillId="0" borderId="10" xfId="0" applyFont="1" applyFill="1" applyBorder="1" applyAlignment="1">
      <alignment/>
    </xf>
    <xf numFmtId="0" fontId="12" fillId="0" borderId="0" xfId="0" applyFont="1" applyFill="1" applyBorder="1" applyAlignment="1">
      <alignment/>
    </xf>
    <xf numFmtId="178" fontId="8" fillId="0" borderId="12" xfId="0" applyNumberFormat="1" applyFont="1" applyFill="1" applyBorder="1" applyAlignment="1">
      <alignment vertical="center" wrapText="1"/>
    </xf>
    <xf numFmtId="178" fontId="6" fillId="0" borderId="0" xfId="0" applyNumberFormat="1" applyFont="1" applyFill="1" applyAlignment="1">
      <alignment/>
    </xf>
    <xf numFmtId="0" fontId="6" fillId="0" borderId="13" xfId="0" applyFont="1" applyFill="1" applyBorder="1" applyAlignment="1">
      <alignment/>
    </xf>
    <xf numFmtId="0" fontId="10" fillId="0" borderId="0" xfId="68" applyFont="1" applyAlignment="1">
      <alignment horizontal="left"/>
      <protection/>
    </xf>
    <xf numFmtId="3" fontId="6" fillId="0" borderId="0" xfId="0" applyNumberFormat="1" applyFont="1" applyFill="1" applyAlignment="1">
      <alignment/>
    </xf>
    <xf numFmtId="184" fontId="6" fillId="0" borderId="0" xfId="0" applyNumberFormat="1" applyFont="1" applyFill="1" applyAlignment="1">
      <alignment/>
    </xf>
    <xf numFmtId="0" fontId="11" fillId="0" borderId="14" xfId="67" applyFont="1" applyFill="1" applyBorder="1" applyAlignment="1">
      <alignment horizontal="left" vertical="center" wrapText="1"/>
      <protection/>
    </xf>
    <xf numFmtId="188" fontId="6" fillId="0" borderId="0" xfId="42" applyNumberFormat="1" applyFont="1" applyFill="1" applyAlignment="1">
      <alignment/>
    </xf>
    <xf numFmtId="188" fontId="6" fillId="0" borderId="0" xfId="0" applyNumberFormat="1" applyFont="1" applyFill="1" applyAlignment="1">
      <alignment/>
    </xf>
    <xf numFmtId="0" fontId="8" fillId="0" borderId="13" xfId="0" applyFont="1" applyFill="1" applyBorder="1" applyAlignment="1">
      <alignment horizontal="center" vertical="center"/>
    </xf>
    <xf numFmtId="0" fontId="8" fillId="0" borderId="10" xfId="0" applyFont="1" applyFill="1" applyBorder="1" applyAlignment="1">
      <alignment horizontal="center"/>
    </xf>
    <xf numFmtId="0" fontId="10" fillId="0" borderId="0" xfId="67" applyFont="1" applyFill="1">
      <alignment/>
      <protection/>
    </xf>
    <xf numFmtId="0" fontId="10" fillId="0" borderId="0" xfId="0" applyFont="1" applyFill="1" applyAlignment="1">
      <alignment vertical="top" wrapText="1"/>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15" fillId="0" borderId="0" xfId="67" applyFont="1" applyFill="1" applyBorder="1" applyAlignment="1">
      <alignment horizontal="center" vertical="center" wrapText="1"/>
      <protection/>
    </xf>
    <xf numFmtId="0" fontId="8" fillId="0" borderId="10" xfId="67" applyFont="1" applyFill="1" applyBorder="1" applyAlignment="1">
      <alignment horizontal="center" vertical="center" wrapText="1" shrinkToFit="1"/>
      <protection/>
    </xf>
    <xf numFmtId="0" fontId="6" fillId="0" borderId="10" xfId="0" applyFont="1" applyFill="1" applyBorder="1" applyAlignment="1">
      <alignment horizontal="center" vertical="center" wrapText="1" shrinkToFit="1"/>
    </xf>
    <xf numFmtId="0" fontId="8" fillId="0" borderId="10" xfId="67" applyFont="1" applyFill="1" applyBorder="1" applyAlignment="1">
      <alignment horizontal="center" vertical="center"/>
      <protection/>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xf>
    <xf numFmtId="0" fontId="10" fillId="0" borderId="0" xfId="0" applyFont="1" applyFill="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rosspull" xfId="48"/>
    <cellStyle name="Currency" xfId="49"/>
    <cellStyle name="Currency [0]" xfId="50"/>
    <cellStyle name="data_entry" xfId="51"/>
    <cellStyle name="dataentry" xfId="52"/>
    <cellStyle name="dataentry4" xfId="53"/>
    <cellStyle name="excrate"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_CGDD-Jan-09" xfId="66"/>
    <cellStyle name="Normal_Quarterly BOP 2001" xfId="67"/>
    <cellStyle name="Normal_stock310309" xfId="68"/>
    <cellStyle name="Note" xfId="69"/>
    <cellStyle name="Output" xfId="70"/>
    <cellStyle name="Percent" xfId="71"/>
    <cellStyle name="Standard_AFS Debt sec" xfId="72"/>
    <cellStyle name="Subtotal" xfId="73"/>
    <cellStyle name="Subtotal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enchu\LOCALS~1\Temp\TD_80\f63edd01\Attach\BUG10183\Format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OCUME~1\jenchu\LOCALS~1\Temp\TD_80\f63edd01\Attach\BUG10183\Format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Finance\monthly\2005\09\BOM\Loan&amp;Deposits%20analysis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Finance\monthly\2005\07\bom\Loan&amp;Deposits%20analys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s\Mauritius\Monthly\2005\Alm0720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Finance\monthly\2005\09\BOM\Mau_regdist09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84461.660202</v>
          </cell>
        </row>
        <row r="17">
          <cell r="AC17">
            <v>497193.705214</v>
          </cell>
        </row>
        <row r="18">
          <cell r="AC18">
            <v>8.438624</v>
          </cell>
        </row>
        <row r="19">
          <cell r="AC19">
            <v>889081.8215320001</v>
          </cell>
        </row>
        <row r="20">
          <cell r="AC20">
            <v>1068896.241036</v>
          </cell>
        </row>
        <row r="21">
          <cell r="AC21">
            <v>911370.8645860001</v>
          </cell>
        </row>
        <row r="22">
          <cell r="AC22">
            <v>16.349833999999998</v>
          </cell>
        </row>
        <row r="23">
          <cell r="AC23">
            <v>926824.0947860001</v>
          </cell>
        </row>
        <row r="24">
          <cell r="AC24">
            <v>495153.667862</v>
          </cell>
        </row>
        <row r="25">
          <cell r="AC25">
            <v>411401.37949</v>
          </cell>
        </row>
        <row r="26">
          <cell r="AC26">
            <v>427.73275399999994</v>
          </cell>
        </row>
        <row r="27">
          <cell r="AC27">
            <v>15219.058384</v>
          </cell>
        </row>
        <row r="28">
          <cell r="AC28">
            <v>944.0710599999999</v>
          </cell>
        </row>
        <row r="29">
          <cell r="AC29">
            <v>20608.174636</v>
          </cell>
        </row>
        <row r="30">
          <cell r="AC30">
            <v>17668.369</v>
          </cell>
        </row>
        <row r="31">
          <cell r="AC31">
            <v>1007.3607400000001</v>
          </cell>
        </row>
        <row r="32">
          <cell r="AC32">
            <v>32478.154119999996</v>
          </cell>
        </row>
        <row r="33">
          <cell r="AC33">
            <v>128808.21156400001</v>
          </cell>
        </row>
        <row r="34">
          <cell r="AC34">
            <v>49317.428312000004</v>
          </cell>
        </row>
        <row r="35">
          <cell r="AC35">
            <v>2030.5439</v>
          </cell>
        </row>
        <row r="36">
          <cell r="AC36">
            <v>10366.849584</v>
          </cell>
        </row>
        <row r="37">
          <cell r="AC37">
            <v>7005.112748</v>
          </cell>
        </row>
        <row r="38">
          <cell r="AC38">
            <v>1563983.4547340001</v>
          </cell>
        </row>
        <row r="39">
          <cell r="AC39">
            <v>12904.238338</v>
          </cell>
        </row>
        <row r="40">
          <cell r="AC40">
            <v>50220.888494</v>
          </cell>
        </row>
        <row r="41">
          <cell r="AC41">
            <v>38170.006008000004</v>
          </cell>
        </row>
        <row r="42">
          <cell r="AC42">
            <v>14114.126054</v>
          </cell>
        </row>
        <row r="43">
          <cell r="AC43">
            <v>361066.042158</v>
          </cell>
        </row>
        <row r="44">
          <cell r="AC44">
            <v>60298.187792</v>
          </cell>
        </row>
        <row r="45">
          <cell r="AC45">
            <v>266195.33925200003</v>
          </cell>
        </row>
        <row r="46">
          <cell r="AC46">
            <v>2157649.6191720003</v>
          </cell>
        </row>
        <row r="47">
          <cell r="AC47">
            <v>1211291.164654</v>
          </cell>
        </row>
        <row r="48">
          <cell r="AC48">
            <v>199188.44538</v>
          </cell>
        </row>
        <row r="49">
          <cell r="AC49">
            <v>17403.079758</v>
          </cell>
        </row>
        <row r="50">
          <cell r="AC50">
            <v>1.054828</v>
          </cell>
        </row>
        <row r="51">
          <cell r="AC51">
            <v>50241.985054</v>
          </cell>
        </row>
        <row r="52">
          <cell r="AC52">
            <v>74.892788</v>
          </cell>
        </row>
        <row r="53">
          <cell r="AC53">
            <v>29399.638601999995</v>
          </cell>
        </row>
        <row r="54">
          <cell r="AC54">
            <v>340235.298814</v>
          </cell>
        </row>
        <row r="55">
          <cell r="AC55">
            <v>292184.71893</v>
          </cell>
        </row>
        <row r="56">
          <cell r="AC56">
            <v>130.27125800000002</v>
          </cell>
        </row>
        <row r="57">
          <cell r="AC57">
            <v>677747.559146</v>
          </cell>
        </row>
        <row r="58">
          <cell r="AC58">
            <v>2.109656</v>
          </cell>
        </row>
        <row r="59">
          <cell r="AC59">
            <v>357.05927799999995</v>
          </cell>
        </row>
        <row r="60">
          <cell r="AC60">
            <v>66836.011736</v>
          </cell>
        </row>
        <row r="61">
          <cell r="AC61">
            <v>2.109656</v>
          </cell>
        </row>
        <row r="62">
          <cell r="AC62">
            <v>69130.79005</v>
          </cell>
        </row>
        <row r="63">
          <cell r="AC63">
            <v>28480.356</v>
          </cell>
        </row>
        <row r="64">
          <cell r="AC64">
            <v>68007.925644</v>
          </cell>
        </row>
        <row r="65">
          <cell r="AC65">
            <v>73.83796</v>
          </cell>
        </row>
        <row r="66">
          <cell r="AC66">
            <v>11.075693999999999</v>
          </cell>
        </row>
        <row r="67">
          <cell r="AC67">
            <v>721242.864312</v>
          </cell>
        </row>
        <row r="68">
          <cell r="AC68">
            <v>44276.932713999995</v>
          </cell>
        </row>
        <row r="69">
          <cell r="AC69">
            <v>210166.56779</v>
          </cell>
        </row>
        <row r="70">
          <cell r="AC70">
            <v>0.527414</v>
          </cell>
        </row>
        <row r="71">
          <cell r="AC71">
            <v>4.746726</v>
          </cell>
        </row>
        <row r="72">
          <cell r="AC72">
            <v>332617.858412</v>
          </cell>
        </row>
        <row r="73">
          <cell r="AC73">
            <v>10205567.965041999</v>
          </cell>
        </row>
        <row r="74">
          <cell r="AC74">
            <v>1912.4031639999998</v>
          </cell>
        </row>
        <row r="75">
          <cell r="AC75">
            <v>768689.027752</v>
          </cell>
        </row>
        <row r="76">
          <cell r="AC76">
            <v>96169.196174</v>
          </cell>
        </row>
        <row r="77">
          <cell r="AC77">
            <v>49621.74619</v>
          </cell>
        </row>
        <row r="78">
          <cell r="AC78">
            <v>29172.543121630017</v>
          </cell>
        </row>
        <row r="79">
          <cell r="AC79">
            <v>239635.33345864696</v>
          </cell>
        </row>
        <row r="80">
          <cell r="AC80">
            <v>224866.62721983192</v>
          </cell>
        </row>
        <row r="81">
          <cell r="AC81">
            <v>533359.938472622</v>
          </cell>
        </row>
        <row r="82">
          <cell r="AC82">
            <v>35921.582018958936</v>
          </cell>
        </row>
        <row r="83">
          <cell r="AC83">
            <v>281688.68969990284</v>
          </cell>
        </row>
        <row r="84">
          <cell r="AC84">
            <v>36735.45250396969</v>
          </cell>
        </row>
        <row r="85">
          <cell r="AC85">
            <v>354824.26097428205</v>
          </cell>
        </row>
        <row r="86">
          <cell r="AC86">
            <v>860710.7004646201</v>
          </cell>
        </row>
        <row r="87">
          <cell r="AC87">
            <v>138597.25082755368</v>
          </cell>
        </row>
        <row r="88">
          <cell r="AC88">
            <v>8249.388849352048</v>
          </cell>
        </row>
        <row r="89">
          <cell r="AC89">
            <v>198395.25102316067</v>
          </cell>
        </row>
        <row r="90">
          <cell r="AC90">
            <v>1234291.275046725</v>
          </cell>
        </row>
        <row r="91">
          <cell r="AC91">
            <v>3154208.7657908904</v>
          </cell>
        </row>
        <row r="92">
          <cell r="AC92">
            <v>100588.78316246196</v>
          </cell>
        </row>
        <row r="93">
          <cell r="AC93">
            <v>143022.22408036882</v>
          </cell>
        </row>
        <row r="94">
          <cell r="AC94">
            <v>112652.14572162981</v>
          </cell>
        </row>
        <row r="95">
          <cell r="AC95">
            <v>302271.4384650704</v>
          </cell>
        </row>
        <row r="96">
          <cell r="AC96">
            <v>15625.537629192928</v>
          </cell>
        </row>
        <row r="97">
          <cell r="AC97">
            <v>468.98988359124166</v>
          </cell>
        </row>
        <row r="98">
          <cell r="AC98">
            <v>71901.04192431527</v>
          </cell>
        </row>
        <row r="99">
          <cell r="AC99">
            <v>78540267.37741263</v>
          </cell>
        </row>
        <row r="100">
          <cell r="AC100">
            <v>10825.253133656617</v>
          </cell>
        </row>
        <row r="101">
          <cell r="AC101">
            <v>4885695.847179728</v>
          </cell>
        </row>
        <row r="102">
          <cell r="AC102">
            <v>2230024.5210048086</v>
          </cell>
        </row>
        <row r="103">
          <cell r="AC103">
            <v>25845258.890077095</v>
          </cell>
        </row>
        <row r="104">
          <cell r="AC104">
            <v>148094.89264951754</v>
          </cell>
        </row>
        <row r="105">
          <cell r="AC105">
            <v>34655.130329490225</v>
          </cell>
        </row>
        <row r="106">
          <cell r="AC106">
            <v>174490.1922429345</v>
          </cell>
        </row>
        <row r="107">
          <cell r="AC107">
            <v>161803064.48674136</v>
          </cell>
        </row>
        <row r="108">
          <cell r="AC108">
            <v>9041484.4204737</v>
          </cell>
        </row>
        <row r="109">
          <cell r="AC109">
            <v>98809.48566517305</v>
          </cell>
        </row>
        <row r="110">
          <cell r="AC110">
            <v>383654.31021145737</v>
          </cell>
        </row>
        <row r="111">
          <cell r="AC111">
            <v>6595192.31513376</v>
          </cell>
        </row>
        <row r="112">
          <cell r="AC112">
            <v>1150048.5196972177</v>
          </cell>
        </row>
        <row r="113">
          <cell r="AC113">
            <v>463090879.9077332</v>
          </cell>
        </row>
        <row r="114">
          <cell r="AC114">
            <v>209114.89193112304</v>
          </cell>
        </row>
        <row r="115">
          <cell r="AC115">
            <v>549932.4060576155</v>
          </cell>
        </row>
        <row r="116">
          <cell r="AC116">
            <v>377241.79840617103</v>
          </cell>
        </row>
        <row r="117">
          <cell r="AC117">
            <v>853242.9614212536</v>
          </cell>
        </row>
        <row r="118">
          <cell r="AC118">
            <v>1489206.0721746632</v>
          </cell>
        </row>
        <row r="119">
          <cell r="AC119">
            <v>192.72739491090465</v>
          </cell>
        </row>
        <row r="120">
          <cell r="AC120">
            <v>68066058.54173721</v>
          </cell>
        </row>
        <row r="121">
          <cell r="AC121">
            <v>23506.178707477055</v>
          </cell>
        </row>
        <row r="122">
          <cell r="AC122">
            <v>264811.31902265083</v>
          </cell>
        </row>
        <row r="123">
          <cell r="AC123">
            <v>166745.89237126693</v>
          </cell>
        </row>
        <row r="124">
          <cell r="AC124">
            <v>371596.0194258398</v>
          </cell>
        </row>
        <row r="125">
          <cell r="AC125">
            <v>282735.8617682268</v>
          </cell>
        </row>
        <row r="126">
          <cell r="AC126">
            <v>211794.5784033982</v>
          </cell>
        </row>
        <row r="127">
          <cell r="AC127">
            <v>91898252.64306444</v>
          </cell>
        </row>
        <row r="128">
          <cell r="AC128">
            <v>144.39637637287592</v>
          </cell>
        </row>
        <row r="129">
          <cell r="AC129">
            <v>207017.2660586485</v>
          </cell>
        </row>
        <row r="130">
          <cell r="AC130">
            <v>5825191.477974505</v>
          </cell>
        </row>
        <row r="131">
          <cell r="AC131">
            <v>62230.36312240045</v>
          </cell>
        </row>
        <row r="132">
          <cell r="AC132">
            <v>1870507.0794587876</v>
          </cell>
        </row>
        <row r="133">
          <cell r="AC133">
            <v>22343.54920597892</v>
          </cell>
        </row>
        <row r="134">
          <cell r="AC134">
            <v>12205.670558196487</v>
          </cell>
        </row>
        <row r="135">
          <cell r="AC135">
            <v>50792.61874764153</v>
          </cell>
        </row>
        <row r="136">
          <cell r="AC136">
            <v>186748077.6048501</v>
          </cell>
        </row>
        <row r="137">
          <cell r="AC137">
            <v>4970568.994147574</v>
          </cell>
        </row>
        <row r="138">
          <cell r="AC138">
            <v>652107.1626432143</v>
          </cell>
        </row>
        <row r="139">
          <cell r="AC139">
            <v>4447.348724360457</v>
          </cell>
        </row>
        <row r="140">
          <cell r="AC140">
            <v>15871.667816192148</v>
          </cell>
        </row>
        <row r="141">
          <cell r="AC141">
            <v>339634.5975307932</v>
          </cell>
        </row>
        <row r="142">
          <cell r="AC142">
            <v>633339.8104694289</v>
          </cell>
        </row>
        <row r="143">
          <cell r="AC143">
            <v>12826.515308675733</v>
          </cell>
        </row>
        <row r="144">
          <cell r="AC144">
            <v>1193101.01532788</v>
          </cell>
        </row>
        <row r="145">
          <cell r="AC145">
            <v>0.29833962060511554</v>
          </cell>
        </row>
        <row r="146">
          <cell r="AC146">
            <v>16816.211055027943</v>
          </cell>
        </row>
        <row r="147">
          <cell r="AC147">
            <v>751788.3966797955</v>
          </cell>
        </row>
        <row r="148">
          <cell r="AC148">
            <v>0.29833962060511554</v>
          </cell>
        </row>
        <row r="149">
          <cell r="AC149">
            <v>6330141.429395764</v>
          </cell>
        </row>
        <row r="150">
          <cell r="AC150">
            <v>67291.99312558684</v>
          </cell>
        </row>
        <row r="151">
          <cell r="AC151">
            <v>15902.396797114474</v>
          </cell>
        </row>
        <row r="152">
          <cell r="AC152">
            <v>201982.18828169594</v>
          </cell>
        </row>
        <row r="153">
          <cell r="AC153">
            <v>429702.43397261575</v>
          </cell>
        </row>
        <row r="154">
          <cell r="AC154">
            <v>5899341.702298562</v>
          </cell>
        </row>
        <row r="155">
          <cell r="AC155">
            <v>5973.355883755623</v>
          </cell>
        </row>
        <row r="156">
          <cell r="AC156">
            <v>193.62241377272</v>
          </cell>
        </row>
        <row r="157">
          <cell r="AC157">
            <v>2129525.538068149</v>
          </cell>
        </row>
        <row r="158">
          <cell r="AC158">
            <v>736630.3572360908</v>
          </cell>
        </row>
        <row r="159">
          <cell r="AC159">
            <v>318476.9483167196</v>
          </cell>
        </row>
        <row r="160">
          <cell r="AC160">
            <v>194564.57029459093</v>
          </cell>
        </row>
        <row r="161">
          <cell r="AC161">
            <v>72462.8154299147</v>
          </cell>
        </row>
        <row r="162">
          <cell r="AC162">
            <v>49303.30736158079</v>
          </cell>
        </row>
        <row r="163">
          <cell r="AC163">
            <v>75901.77623662987</v>
          </cell>
        </row>
        <row r="164">
          <cell r="AC164">
            <v>11630.471769669823</v>
          </cell>
        </row>
        <row r="165">
          <cell r="AC165">
            <v>7159382.0733204745</v>
          </cell>
        </row>
        <row r="166">
          <cell r="AC166">
            <v>5802.108941528287</v>
          </cell>
        </row>
        <row r="167">
          <cell r="AC167">
            <v>874264.8661079518</v>
          </cell>
        </row>
        <row r="168">
          <cell r="AC168">
            <v>5191.109398529011</v>
          </cell>
        </row>
        <row r="169">
          <cell r="AC169">
            <v>498680.6426338628</v>
          </cell>
        </row>
        <row r="170">
          <cell r="AC170">
            <v>552847.1841509275</v>
          </cell>
        </row>
        <row r="171">
          <cell r="AC171">
            <v>1986230.3332349267</v>
          </cell>
        </row>
        <row r="172">
          <cell r="AC172">
            <v>22932.471617053416</v>
          </cell>
        </row>
        <row r="173">
          <cell r="AC173">
            <v>310641.6548607675</v>
          </cell>
        </row>
        <row r="174">
          <cell r="AC174">
            <v>8204.339566640678</v>
          </cell>
        </row>
        <row r="175">
          <cell r="AC175">
            <v>691675.9465240708</v>
          </cell>
        </row>
        <row r="176">
          <cell r="AC176">
            <v>2983.3962060511553</v>
          </cell>
        </row>
        <row r="177">
          <cell r="AC177">
            <v>295932.9148856941</v>
          </cell>
        </row>
        <row r="178">
          <cell r="AC178">
            <v>5630373.319002399</v>
          </cell>
        </row>
        <row r="179">
          <cell r="AC179">
            <v>23378.489349858064</v>
          </cell>
        </row>
        <row r="180">
          <cell r="AC180">
            <v>2237.5471545383666</v>
          </cell>
        </row>
        <row r="181">
          <cell r="AC181">
            <v>307497655.2767937</v>
          </cell>
        </row>
        <row r="182">
          <cell r="AC182">
            <v>2411186.7805229556</v>
          </cell>
        </row>
        <row r="183">
          <cell r="AC183">
            <v>1578697.8148090977</v>
          </cell>
        </row>
        <row r="184">
          <cell r="AC184">
            <v>8968942.246704703</v>
          </cell>
        </row>
        <row r="185">
          <cell r="AC185">
            <v>7674793.303538251</v>
          </cell>
        </row>
        <row r="186">
          <cell r="AC186">
            <v>396479166.453503</v>
          </cell>
        </row>
        <row r="187">
          <cell r="AC187">
            <v>80697.5856378571</v>
          </cell>
        </row>
        <row r="188">
          <cell r="AC188">
            <v>383597.62568354246</v>
          </cell>
        </row>
        <row r="189">
          <cell r="AC189">
            <v>48046.104200350834</v>
          </cell>
        </row>
        <row r="190">
          <cell r="AC190">
            <v>143973.62913047848</v>
          </cell>
        </row>
        <row r="191">
          <cell r="AC191">
            <v>16476.998906399927</v>
          </cell>
        </row>
        <row r="192">
          <cell r="AC192">
            <v>59099.58714377036</v>
          </cell>
        </row>
        <row r="193">
          <cell r="AC193">
            <v>41175.04439819442</v>
          </cell>
        </row>
        <row r="194">
          <cell r="AC194">
            <v>27982.1680354156</v>
          </cell>
        </row>
        <row r="195">
          <cell r="AC195">
            <v>62844.94274084698</v>
          </cell>
        </row>
        <row r="196">
          <cell r="AC196">
            <v>1573231.6362803704</v>
          </cell>
        </row>
        <row r="197">
          <cell r="AC197">
            <v>2827.9612637158903</v>
          </cell>
        </row>
        <row r="198">
          <cell r="AC198">
            <v>4479697.68942267</v>
          </cell>
        </row>
        <row r="199">
          <cell r="AC199">
            <v>6550.9413892471275</v>
          </cell>
        </row>
        <row r="200">
          <cell r="AC200">
            <v>2476.517190643064</v>
          </cell>
        </row>
        <row r="201">
          <cell r="AC201">
            <v>42286.061145327876</v>
          </cell>
        </row>
        <row r="202">
          <cell r="AC202">
            <v>374117.8842388149</v>
          </cell>
        </row>
        <row r="203">
          <cell r="AC203">
            <v>56.08784867376172</v>
          </cell>
        </row>
        <row r="204">
          <cell r="AC204">
            <v>208355.31925706242</v>
          </cell>
        </row>
        <row r="205">
          <cell r="AC205">
            <v>56621613.16075988</v>
          </cell>
        </row>
        <row r="206">
          <cell r="AC206">
            <v>4227.770763595093</v>
          </cell>
        </row>
        <row r="207">
          <cell r="AC207">
            <v>10671.906568665589</v>
          </cell>
        </row>
        <row r="208">
          <cell r="AC208">
            <v>39250.75384529142</v>
          </cell>
        </row>
        <row r="209">
          <cell r="AC209">
            <v>4624.264119379291</v>
          </cell>
        </row>
        <row r="210">
          <cell r="AC210">
            <v>8080.230284468948</v>
          </cell>
        </row>
        <row r="211">
          <cell r="AC211">
            <v>225115.144123796</v>
          </cell>
        </row>
        <row r="212">
          <cell r="AC212">
            <v>1002856.9994188923</v>
          </cell>
        </row>
        <row r="213">
          <cell r="AC213">
            <v>22957104.922847543</v>
          </cell>
        </row>
        <row r="214">
          <cell r="AC214">
            <v>19313.015339872156</v>
          </cell>
        </row>
        <row r="215">
          <cell r="AC215">
            <v>2861903.660691755</v>
          </cell>
        </row>
        <row r="216">
          <cell r="AC216">
            <v>2.9833962060511556</v>
          </cell>
        </row>
        <row r="217">
          <cell r="AC217">
            <v>148885.79098374175</v>
          </cell>
        </row>
        <row r="218">
          <cell r="AC218">
            <v>3646497.183713668</v>
          </cell>
        </row>
        <row r="219">
          <cell r="AC219">
            <v>48180.95370886435</v>
          </cell>
        </row>
        <row r="220">
          <cell r="AC220">
            <v>164306.07095395832</v>
          </cell>
        </row>
        <row r="221">
          <cell r="AC221">
            <v>22375.471545383665</v>
          </cell>
        </row>
        <row r="222">
          <cell r="AC222">
            <v>102713.5579404116</v>
          </cell>
        </row>
        <row r="223">
          <cell r="AC223">
            <v>609880.4710823868</v>
          </cell>
        </row>
        <row r="224">
          <cell r="AC224">
            <v>6979704.650094077</v>
          </cell>
        </row>
        <row r="225">
          <cell r="AC225">
            <v>258277.97967101942</v>
          </cell>
        </row>
        <row r="226">
          <cell r="AC226">
            <v>601607.513403007</v>
          </cell>
        </row>
        <row r="227">
          <cell r="AC227">
            <v>633330.56194119</v>
          </cell>
        </row>
        <row r="228">
          <cell r="AC228">
            <v>356993.7866953225</v>
          </cell>
        </row>
        <row r="229">
          <cell r="AC229">
            <v>4483.149478833072</v>
          </cell>
        </row>
        <row r="230">
          <cell r="AC230">
            <v>203411.23506439445</v>
          </cell>
        </row>
        <row r="231">
          <cell r="AC231">
            <v>128576.02297142787</v>
          </cell>
        </row>
        <row r="232">
          <cell r="AC232">
            <v>26045829.03693447</v>
          </cell>
        </row>
        <row r="233">
          <cell r="AC233">
            <v>1500320.1180610654</v>
          </cell>
        </row>
        <row r="234">
          <cell r="AC234">
            <v>165712.44392549086</v>
          </cell>
        </row>
        <row r="235">
          <cell r="AC235">
            <v>192.1307156696944</v>
          </cell>
        </row>
        <row r="236">
          <cell r="AC236">
            <v>61741.68282384928</v>
          </cell>
        </row>
        <row r="237">
          <cell r="AC237">
            <v>1334909.8921712476</v>
          </cell>
        </row>
        <row r="238">
          <cell r="AC238">
            <v>17342.780485395975</v>
          </cell>
        </row>
        <row r="239">
          <cell r="AC239">
            <v>32760.673738647736</v>
          </cell>
        </row>
        <row r="240">
          <cell r="AC240">
            <v>63065.71406009476</v>
          </cell>
        </row>
        <row r="241">
          <cell r="AC241">
            <v>58832.57318332879</v>
          </cell>
        </row>
        <row r="242">
          <cell r="AC242">
            <v>365661.74603238347</v>
          </cell>
        </row>
        <row r="243">
          <cell r="AC243">
            <v>1048.962106047586</v>
          </cell>
        </row>
        <row r="244">
          <cell r="AC244">
            <v>368896.9408782254</v>
          </cell>
        </row>
        <row r="245">
          <cell r="AC245">
            <v>21362.6085334293</v>
          </cell>
        </row>
        <row r="246">
          <cell r="AC246">
            <v>654109.6181767159</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972968.44120781</v>
          </cell>
        </row>
        <row r="255">
          <cell r="AC255">
            <v>293097.7934710837</v>
          </cell>
        </row>
        <row r="256">
          <cell r="AC256">
            <v>8839753.434152555</v>
          </cell>
        </row>
        <row r="257">
          <cell r="AC257">
            <v>780142.2958824851</v>
          </cell>
        </row>
        <row r="258">
          <cell r="AC258">
            <v>335959.9484238</v>
          </cell>
        </row>
        <row r="259">
          <cell r="AC259">
            <v>8506775.986915942</v>
          </cell>
        </row>
        <row r="260">
          <cell r="AC260">
            <v>59790990.40788121</v>
          </cell>
        </row>
        <row r="261">
          <cell r="AC261">
            <v>2739.056056775566</v>
          </cell>
        </row>
        <row r="262">
          <cell r="AC262">
            <v>897.4055787801875</v>
          </cell>
        </row>
        <row r="263">
          <cell r="AC263">
            <v>3651.6769562066147</v>
          </cell>
        </row>
        <row r="264">
          <cell r="AC264">
            <v>4205.693631670314</v>
          </cell>
        </row>
        <row r="265">
          <cell r="AC265">
            <v>360141.26969270647</v>
          </cell>
        </row>
        <row r="266">
          <cell r="AC266">
            <v>554718.6685909834</v>
          </cell>
        </row>
        <row r="267">
          <cell r="AC267">
            <v>1382438.4235801212</v>
          </cell>
        </row>
        <row r="268">
          <cell r="AC268">
            <v>2616.992063364065</v>
          </cell>
        </row>
        <row r="269">
          <cell r="AC269">
            <v>12781.404223568687</v>
          </cell>
        </row>
        <row r="270">
          <cell r="AC270">
            <v>96344.80107007541</v>
          </cell>
        </row>
        <row r="271">
          <cell r="AC271">
            <v>330.141847943677</v>
          </cell>
        </row>
        <row r="272">
          <cell r="AC272">
            <v>1.9701559553331105</v>
          </cell>
        </row>
        <row r="273">
          <cell r="AC273">
            <v>143876.4784487129</v>
          </cell>
        </row>
        <row r="274">
          <cell r="AC274">
            <v>453851.16399607837</v>
          </cell>
        </row>
        <row r="275">
          <cell r="AC275">
            <v>3397885.1404815097</v>
          </cell>
        </row>
        <row r="276">
          <cell r="AC276">
            <v>894.1371745395166</v>
          </cell>
        </row>
        <row r="277">
          <cell r="AC277">
            <v>20.84403381161253</v>
          </cell>
        </row>
        <row r="278">
          <cell r="AC278">
            <v>95204.04629486031</v>
          </cell>
        </row>
        <row r="279">
          <cell r="AC279">
            <v>1245.2513302971968</v>
          </cell>
        </row>
        <row r="280">
          <cell r="AC280">
            <v>1115782.9268350853</v>
          </cell>
        </row>
        <row r="281">
          <cell r="AC281">
            <v>252419.8119390545</v>
          </cell>
        </row>
        <row r="282">
          <cell r="AC282">
            <v>9.343877225895271</v>
          </cell>
        </row>
        <row r="283">
          <cell r="AC283">
            <v>117105.37575257223</v>
          </cell>
        </row>
        <row r="284">
          <cell r="AC284">
            <v>22685.1370050072</v>
          </cell>
        </row>
        <row r="285">
          <cell r="AC285">
            <v>10368937.573704993</v>
          </cell>
        </row>
        <row r="286">
          <cell r="AC286">
            <v>12128.352639212062</v>
          </cell>
        </row>
        <row r="287">
          <cell r="AC287">
            <v>38958.57733358372</v>
          </cell>
        </row>
        <row r="288">
          <cell r="AC288">
            <v>244.01894755318807</v>
          </cell>
        </row>
        <row r="289">
          <cell r="AC289">
            <v>33163.217174168836</v>
          </cell>
        </row>
        <row r="290">
          <cell r="AC290">
            <v>15.0939555187539</v>
          </cell>
        </row>
        <row r="291">
          <cell r="AC291">
            <v>2102072.2936155275</v>
          </cell>
        </row>
        <row r="292">
          <cell r="AC292">
            <v>6660.38756259681</v>
          </cell>
        </row>
        <row r="293">
          <cell r="AC293">
            <v>1428103.820010101</v>
          </cell>
        </row>
        <row r="294">
          <cell r="AC294">
            <v>51490.5135929758</v>
          </cell>
        </row>
        <row r="295">
          <cell r="AC295">
            <v>129406375.21128716</v>
          </cell>
        </row>
        <row r="296">
          <cell r="AC296">
            <v>10331.093792800439</v>
          </cell>
        </row>
        <row r="297">
          <cell r="AC297">
            <v>4854.862978639201</v>
          </cell>
        </row>
        <row r="298">
          <cell r="AC298">
            <v>1780179.6763622616</v>
          </cell>
        </row>
        <row r="299">
          <cell r="AC299">
            <v>33338.235182207725</v>
          </cell>
        </row>
        <row r="300">
          <cell r="AC300">
            <v>2202.639366058159</v>
          </cell>
        </row>
        <row r="301">
          <cell r="AC301">
            <v>402665.0451727308</v>
          </cell>
        </row>
        <row r="302">
          <cell r="AC302">
            <v>194.78390217058603</v>
          </cell>
        </row>
        <row r="303">
          <cell r="AC303">
            <v>14116.082829074629</v>
          </cell>
        </row>
        <row r="304">
          <cell r="AC304">
            <v>28927.206371798547</v>
          </cell>
        </row>
        <row r="305">
          <cell r="AC305">
            <v>11336.998114157394</v>
          </cell>
        </row>
        <row r="306">
          <cell r="AC306">
            <v>5939.112116736355</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3578336.253747359</v>
          </cell>
        </row>
        <row r="313">
          <cell r="AC313">
            <v>1915810.5475269158</v>
          </cell>
        </row>
        <row r="314">
          <cell r="AC314">
            <v>6874.938217224283</v>
          </cell>
        </row>
        <row r="315">
          <cell r="AC315">
            <v>450923.3311862577</v>
          </cell>
        </row>
        <row r="316">
          <cell r="AC316">
            <v>591367.9009445983</v>
          </cell>
        </row>
        <row r="317">
          <cell r="AC317">
            <v>2729158.04318275</v>
          </cell>
        </row>
        <row r="318">
          <cell r="AC318">
            <v>7327747.651492005</v>
          </cell>
        </row>
        <row r="319">
          <cell r="AC319">
            <v>2546583.7422402785</v>
          </cell>
        </row>
        <row r="320">
          <cell r="AC320">
            <v>12369948.286886489</v>
          </cell>
        </row>
        <row r="321">
          <cell r="AC321">
            <v>1622777.7920931238</v>
          </cell>
        </row>
        <row r="322">
          <cell r="AC322">
            <v>3104.8204316374377</v>
          </cell>
        </row>
        <row r="323">
          <cell r="AC323">
            <v>532246.694482</v>
          </cell>
        </row>
        <row r="324">
          <cell r="AC324">
            <v>429.84241000000003</v>
          </cell>
        </row>
        <row r="325">
          <cell r="AC325">
            <v>171674710.22720894</v>
          </cell>
        </row>
        <row r="326">
          <cell r="AC326">
            <v>0.527414</v>
          </cell>
        </row>
        <row r="327">
          <cell r="AC327">
            <v>207196.86651025276</v>
          </cell>
        </row>
        <row r="328">
          <cell r="AC328">
            <v>1399197.69716</v>
          </cell>
        </row>
        <row r="329">
          <cell r="AC329">
            <v>6511.928334077455</v>
          </cell>
        </row>
        <row r="330">
          <cell r="AC330">
            <v>5118.5528699999995</v>
          </cell>
        </row>
        <row r="331">
          <cell r="AC331">
            <v>6564991.395339905</v>
          </cell>
        </row>
        <row r="332">
          <cell r="AC332">
            <v>0.527414</v>
          </cell>
        </row>
        <row r="333">
          <cell r="AC333">
            <v>320047.5892648032</v>
          </cell>
        </row>
        <row r="334">
          <cell r="AC334">
            <v>220.45905199999999</v>
          </cell>
        </row>
        <row r="335">
          <cell r="AC335">
            <v>18837911.582435854</v>
          </cell>
        </row>
        <row r="336">
          <cell r="AC336">
            <v>1.582242</v>
          </cell>
        </row>
        <row r="337">
          <cell r="AC337">
            <v>19222.021755587597</v>
          </cell>
        </row>
        <row r="338">
          <cell r="AC338">
            <v>876412.6130366881</v>
          </cell>
        </row>
        <row r="339">
          <cell r="AC339">
            <v>193256.35105823755</v>
          </cell>
        </row>
        <row r="340">
          <cell r="AC340">
            <v>12008.319754848639</v>
          </cell>
        </row>
        <row r="341">
          <cell r="AC341">
            <v>33496.080903439346</v>
          </cell>
        </row>
        <row r="342">
          <cell r="AC342">
            <v>105946.396906</v>
          </cell>
        </row>
        <row r="343">
          <cell r="AC343">
            <v>2150716.2347279997</v>
          </cell>
        </row>
        <row r="344">
          <cell r="AC344">
            <v>70332.07385955295</v>
          </cell>
        </row>
        <row r="345">
          <cell r="AC345">
            <v>24617.575864</v>
          </cell>
        </row>
        <row r="346">
          <cell r="AC346">
            <v>57053939.491695724</v>
          </cell>
        </row>
        <row r="347">
          <cell r="AC347">
            <v>1248220.1675957784</v>
          </cell>
        </row>
        <row r="348">
          <cell r="AC348">
            <v>281.0359226100188</v>
          </cell>
        </row>
        <row r="349">
          <cell r="AC349">
            <v>4690489.548361214</v>
          </cell>
        </row>
        <row r="350">
          <cell r="AC350">
            <v>32896.15884631458</v>
          </cell>
        </row>
        <row r="351">
          <cell r="AC351">
            <v>2139084.6378519577</v>
          </cell>
        </row>
        <row r="352">
          <cell r="AC352">
            <v>611100.3817910412</v>
          </cell>
        </row>
        <row r="353">
          <cell r="AC353">
            <v>93000.81325199147</v>
          </cell>
        </row>
        <row r="354">
          <cell r="AC354">
            <v>148985.7347566444</v>
          </cell>
        </row>
        <row r="355">
          <cell r="AC355">
            <v>16605.86672988242</v>
          </cell>
        </row>
        <row r="356">
          <cell r="AC356">
            <v>22241.04838</v>
          </cell>
        </row>
        <row r="357">
          <cell r="AC357">
            <v>745.8490515127888</v>
          </cell>
        </row>
        <row r="358">
          <cell r="AC358">
            <v>84700.40832751594</v>
          </cell>
        </row>
        <row r="359">
          <cell r="AC359">
            <v>684831.1406085276</v>
          </cell>
        </row>
        <row r="360">
          <cell r="AC360">
            <v>2022289.449818984</v>
          </cell>
        </row>
        <row r="361">
          <cell r="AC361">
            <v>108433.1795472615</v>
          </cell>
        </row>
        <row r="362">
          <cell r="AC362">
            <v>170351.92336552098</v>
          </cell>
        </row>
        <row r="363">
          <cell r="AC363">
            <v>694789.360314</v>
          </cell>
        </row>
        <row r="364">
          <cell r="AC364">
            <v>7378432.727034</v>
          </cell>
        </row>
        <row r="365">
          <cell r="AC365">
            <v>9966937.391086</v>
          </cell>
        </row>
        <row r="366">
          <cell r="AC366">
            <v>3553969.745548</v>
          </cell>
        </row>
        <row r="367">
          <cell r="AC367">
            <v>5220.943360589522</v>
          </cell>
        </row>
        <row r="368">
          <cell r="AC368">
            <v>5220.943360589522</v>
          </cell>
        </row>
        <row r="369">
          <cell r="AC369">
            <v>8003539.698275439</v>
          </cell>
        </row>
        <row r="370">
          <cell r="AC370">
            <v>11744.735844361585</v>
          </cell>
        </row>
        <row r="371">
          <cell r="AC371">
            <v>4098319.427569498</v>
          </cell>
        </row>
        <row r="372">
          <cell r="AC372">
            <v>11071.77575289929</v>
          </cell>
        </row>
        <row r="373">
          <cell r="AC373">
            <v>13141.444558435092</v>
          </cell>
        </row>
        <row r="374">
          <cell r="AC374">
            <v>8823496.982703999</v>
          </cell>
        </row>
        <row r="375">
          <cell r="AC375">
            <v>12859589.835695257</v>
          </cell>
        </row>
        <row r="376">
          <cell r="AC376">
            <v>285969.8632555863</v>
          </cell>
        </row>
        <row r="377">
          <cell r="AC377">
            <v>54471.742948943815</v>
          </cell>
        </row>
        <row r="378">
          <cell r="AC378">
            <v>550250.7344328011</v>
          </cell>
        </row>
        <row r="379">
          <cell r="AC379">
            <v>4178653.0526392395</v>
          </cell>
        </row>
        <row r="380">
          <cell r="AC380">
            <v>300393.0922137406</v>
          </cell>
        </row>
        <row r="381">
          <cell r="AC381">
            <v>38890.980945999996</v>
          </cell>
        </row>
        <row r="382">
          <cell r="AC382">
            <v>546.928318</v>
          </cell>
        </row>
        <row r="383">
          <cell r="AC383">
            <v>769.4178815405929</v>
          </cell>
        </row>
        <row r="384">
          <cell r="AC384">
            <v>26468.799004</v>
          </cell>
        </row>
        <row r="385">
          <cell r="AC385">
            <v>348.16233724616984</v>
          </cell>
        </row>
        <row r="386">
          <cell r="AC386">
            <v>541754.9170568293</v>
          </cell>
        </row>
        <row r="387">
          <cell r="AC387">
            <v>908507.9894213863</v>
          </cell>
        </row>
        <row r="388">
          <cell r="AC388">
            <v>92074547.19333279</v>
          </cell>
        </row>
        <row r="389">
          <cell r="AC389">
            <v>309785.46802775864</v>
          </cell>
        </row>
        <row r="390">
          <cell r="AC390">
            <v>3948757.734892885</v>
          </cell>
        </row>
        <row r="391">
          <cell r="AC391">
            <v>500877.01892075763</v>
          </cell>
        </row>
        <row r="392">
          <cell r="AC392">
            <v>9185082.527652</v>
          </cell>
        </row>
        <row r="393">
          <cell r="AC393">
            <v>5196.181172079297</v>
          </cell>
        </row>
        <row r="394">
          <cell r="AC394">
            <v>143421.1041531178</v>
          </cell>
        </row>
        <row r="395">
          <cell r="AC395">
            <v>84161.6069727031</v>
          </cell>
        </row>
        <row r="396">
          <cell r="AC396">
            <v>1516838.8845143502</v>
          </cell>
        </row>
        <row r="397">
          <cell r="AC397">
            <v>4383899.942227505</v>
          </cell>
        </row>
        <row r="398">
          <cell r="AC398">
            <v>6663.117086594651</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v>
          </cell>
        </row>
        <row r="407">
          <cell r="AC407">
            <v>415409.5794286659</v>
          </cell>
        </row>
        <row r="408">
          <cell r="AC408">
            <v>432102.27788076334</v>
          </cell>
        </row>
        <row r="409">
          <cell r="AC409">
            <v>1718410.259138473</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83833.83053407709</v>
          </cell>
        </row>
        <row r="416">
          <cell r="AC416">
            <v>92616.87044296724</v>
          </cell>
        </row>
        <row r="417">
          <cell r="AC417">
            <v>1242.587384</v>
          </cell>
        </row>
        <row r="418">
          <cell r="AC418">
            <v>721495.5882827933</v>
          </cell>
        </row>
        <row r="419">
          <cell r="AC419">
            <v>1935467.2501097252</v>
          </cell>
        </row>
        <row r="420">
          <cell r="AC420">
            <v>1250510.8068605429</v>
          </cell>
        </row>
        <row r="421">
          <cell r="AC421">
            <v>3157995.1085224873</v>
          </cell>
        </row>
        <row r="422">
          <cell r="AC422">
            <v>5556100.839168616</v>
          </cell>
        </row>
        <row r="423">
          <cell r="AC423">
            <v>1081739.947682109</v>
          </cell>
        </row>
        <row r="424">
          <cell r="AC424">
            <v>1680383.724534</v>
          </cell>
        </row>
        <row r="425">
          <cell r="AC425">
            <v>241.6550926901436</v>
          </cell>
        </row>
        <row r="426">
          <cell r="AC426">
            <v>2869206.5901184115</v>
          </cell>
        </row>
        <row r="427">
          <cell r="AC427">
            <v>91117.99190635257</v>
          </cell>
        </row>
        <row r="428">
          <cell r="AC428">
            <v>45440.70429360635</v>
          </cell>
        </row>
        <row r="429">
          <cell r="AC429">
            <v>709280.6691963581</v>
          </cell>
        </row>
        <row r="430">
          <cell r="AC430">
            <v>49458388.47312602</v>
          </cell>
        </row>
        <row r="431">
          <cell r="AC431">
            <v>4821973.785954301</v>
          </cell>
        </row>
        <row r="432">
          <cell r="AC432">
            <v>219740.67948116572</v>
          </cell>
        </row>
        <row r="433">
          <cell r="AC433">
            <v>4.219312</v>
          </cell>
        </row>
        <row r="434">
          <cell r="AC434">
            <v>36227731.57415225</v>
          </cell>
        </row>
        <row r="435">
          <cell r="AC435">
            <v>99320.24309564901</v>
          </cell>
        </row>
        <row r="436">
          <cell r="AC436">
            <v>28938.943198696208</v>
          </cell>
        </row>
        <row r="437">
          <cell r="AC437">
            <v>455053.85402800003</v>
          </cell>
        </row>
        <row r="438">
          <cell r="AC438">
            <v>10793.975095375557</v>
          </cell>
        </row>
        <row r="439">
          <cell r="AC439">
            <v>49350871.348954245</v>
          </cell>
        </row>
        <row r="440">
          <cell r="AC440">
            <v>1.582242</v>
          </cell>
        </row>
        <row r="441">
          <cell r="AC441">
            <v>2296365.4074199065</v>
          </cell>
        </row>
        <row r="442">
          <cell r="AC442">
            <v>147886.94993395577</v>
          </cell>
        </row>
        <row r="443">
          <cell r="AC443">
            <v>26665.893629305832</v>
          </cell>
        </row>
        <row r="444">
          <cell r="AC444">
            <v>1552345.1777814268</v>
          </cell>
        </row>
        <row r="445">
          <cell r="AC445">
            <v>3064756.868982</v>
          </cell>
        </row>
        <row r="446">
          <cell r="AC446">
            <v>11092.5654337188</v>
          </cell>
        </row>
        <row r="447">
          <cell r="AC447">
            <v>416613.37979780755</v>
          </cell>
        </row>
        <row r="448">
          <cell r="AC448">
            <v>151846.8117182475</v>
          </cell>
        </row>
        <row r="449">
          <cell r="AC449">
            <v>4881.134532720296</v>
          </cell>
        </row>
        <row r="450">
          <cell r="AC450">
            <v>2006.417944314358</v>
          </cell>
        </row>
        <row r="451">
          <cell r="AC451">
            <v>10862863.61626782</v>
          </cell>
        </row>
        <row r="452">
          <cell r="AC452">
            <v>420957.204673818</v>
          </cell>
        </row>
        <row r="453">
          <cell r="AC453">
            <v>5032691.358327314</v>
          </cell>
        </row>
        <row r="454">
          <cell r="AC454">
            <v>36077871.12561691</v>
          </cell>
        </row>
        <row r="455">
          <cell r="AC455">
            <v>1056456.9939964279</v>
          </cell>
        </row>
        <row r="456">
          <cell r="AC456">
            <v>14927941.132897949</v>
          </cell>
        </row>
        <row r="457">
          <cell r="AC457">
            <v>10340086.977496546</v>
          </cell>
        </row>
        <row r="458">
          <cell r="AC458">
            <v>2546928.178882215</v>
          </cell>
        </row>
        <row r="459">
          <cell r="AC459">
            <v>63546.637528510226</v>
          </cell>
        </row>
        <row r="460">
          <cell r="AC460">
            <v>16572.08501991187</v>
          </cell>
        </row>
        <row r="461">
          <cell r="AC461">
            <v>7.91121</v>
          </cell>
        </row>
        <row r="462">
          <cell r="AC462">
            <v>113399.18813162502</v>
          </cell>
        </row>
        <row r="463">
          <cell r="AC463">
            <v>383573.1618346528</v>
          </cell>
        </row>
        <row r="464">
          <cell r="AC464">
            <v>372520.6191023128</v>
          </cell>
        </row>
        <row r="465">
          <cell r="AC465">
            <v>496383.1292155827</v>
          </cell>
        </row>
        <row r="466">
          <cell r="AC466">
            <v>16128.538229533153</v>
          </cell>
        </row>
        <row r="467">
          <cell r="AC467">
            <v>9513.863915427906</v>
          </cell>
        </row>
        <row r="468">
          <cell r="AC468">
            <v>166584.239314</v>
          </cell>
        </row>
        <row r="469">
          <cell r="AC469">
            <v>2570.088422</v>
          </cell>
        </row>
        <row r="470">
          <cell r="AC470">
            <v>3017.705262420744</v>
          </cell>
        </row>
        <row r="471">
          <cell r="AC471">
            <v>146932.2631480194</v>
          </cell>
        </row>
        <row r="472">
          <cell r="AC472">
            <v>1029681.0130471188</v>
          </cell>
        </row>
        <row r="473">
          <cell r="AC473">
            <v>219269.17306115132</v>
          </cell>
        </row>
        <row r="474">
          <cell r="AC474">
            <v>50870.22389713368</v>
          </cell>
        </row>
        <row r="475">
          <cell r="AC475">
            <v>639594.7989550357</v>
          </cell>
        </row>
        <row r="476">
          <cell r="AC476">
            <v>9555309.67726834</v>
          </cell>
        </row>
        <row r="477">
          <cell r="AC477">
            <v>7256314.4060928</v>
          </cell>
        </row>
        <row r="478">
          <cell r="AC478">
            <v>67517.0599348527</v>
          </cell>
        </row>
        <row r="479">
          <cell r="AC479">
            <v>82013.404414</v>
          </cell>
        </row>
        <row r="480">
          <cell r="AC480">
            <v>116352.45203599505</v>
          </cell>
        </row>
        <row r="481">
          <cell r="AC481">
            <v>3606504.4592319317</v>
          </cell>
        </row>
        <row r="482">
          <cell r="AC482">
            <v>72496.52780704306</v>
          </cell>
        </row>
        <row r="483">
          <cell r="AC483">
            <v>1023699.0053143656</v>
          </cell>
        </row>
        <row r="484">
          <cell r="AC484">
            <v>42841.56951889459</v>
          </cell>
        </row>
        <row r="485">
          <cell r="AC485">
            <v>21019.407630869922</v>
          </cell>
        </row>
        <row r="486">
          <cell r="AC486">
            <v>38.45364858349208</v>
          </cell>
        </row>
        <row r="487">
          <cell r="AC487">
            <v>568771.16881</v>
          </cell>
        </row>
        <row r="488">
          <cell r="AC488">
            <v>412693.016376</v>
          </cell>
        </row>
        <row r="489">
          <cell r="AC489">
            <v>65250.455101786036</v>
          </cell>
        </row>
        <row r="490">
          <cell r="AC490">
            <v>64826.51450090616</v>
          </cell>
        </row>
        <row r="491">
          <cell r="AC491">
            <v>2205688.068534</v>
          </cell>
        </row>
        <row r="492">
          <cell r="AC492">
            <v>171287.51641573865</v>
          </cell>
        </row>
        <row r="493">
          <cell r="AC493">
            <v>83803.59942797697</v>
          </cell>
        </row>
        <row r="494">
          <cell r="AC494">
            <v>35486.523576</v>
          </cell>
        </row>
        <row r="495">
          <cell r="AC495">
            <v>2337.4068260470326</v>
          </cell>
        </row>
        <row r="496">
          <cell r="AC496">
            <v>860776.3351811533</v>
          </cell>
        </row>
        <row r="497">
          <cell r="AC497">
            <v>22972.1507865939</v>
          </cell>
        </row>
        <row r="498">
          <cell r="AC498">
            <v>7471861.201904549</v>
          </cell>
        </row>
        <row r="499">
          <cell r="AC499">
            <v>1714857.085816</v>
          </cell>
        </row>
        <row r="500">
          <cell r="AC500">
            <v>3934544.684087149</v>
          </cell>
        </row>
        <row r="501">
          <cell r="AC501">
            <v>5169.3306062248375</v>
          </cell>
        </row>
        <row r="502">
          <cell r="AC502">
            <v>8483.45419</v>
          </cell>
        </row>
        <row r="503">
          <cell r="AC503">
            <v>5866.517378289016</v>
          </cell>
        </row>
        <row r="504">
          <cell r="AC504">
            <v>77633.231144</v>
          </cell>
        </row>
        <row r="505">
          <cell r="AC505">
            <v>6032534.829238474</v>
          </cell>
        </row>
        <row r="506">
          <cell r="AC506">
            <v>72959.25255860161</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737467.6663331441</v>
          </cell>
        </row>
        <row r="514">
          <cell r="AC514">
            <v>97925.5053693201</v>
          </cell>
        </row>
        <row r="515">
          <cell r="AC515">
            <v>268995034.2728108</v>
          </cell>
        </row>
        <row r="516">
          <cell r="AC516">
            <v>994.6642950974554</v>
          </cell>
        </row>
        <row r="517">
          <cell r="AC517">
            <v>8668399.68634104</v>
          </cell>
        </row>
        <row r="518">
          <cell r="AC518">
            <v>304.31787799999995</v>
          </cell>
        </row>
        <row r="519">
          <cell r="AC519">
            <v>4734493.687098</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7349.596553607022</v>
          </cell>
        </row>
        <row r="527">
          <cell r="AC527">
            <v>2752743.580229308</v>
          </cell>
        </row>
        <row r="528">
          <cell r="AC528">
            <v>2692.975884</v>
          </cell>
        </row>
        <row r="529">
          <cell r="AC529">
            <v>5548589.1979474705</v>
          </cell>
        </row>
        <row r="530">
          <cell r="AC530">
            <v>1254762.743133407</v>
          </cell>
        </row>
        <row r="531">
          <cell r="AC531">
            <v>36939.21846484299</v>
          </cell>
        </row>
        <row r="532">
          <cell r="AC532">
            <v>284384.78485131124</v>
          </cell>
        </row>
        <row r="533">
          <cell r="AC533">
            <v>180772.62797363708</v>
          </cell>
        </row>
        <row r="534">
          <cell r="AC534">
            <v>440135.3705051767</v>
          </cell>
        </row>
        <row r="535">
          <cell r="AC535">
            <v>4922.902079605011</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255078.5855796502</v>
          </cell>
        </row>
        <row r="542">
          <cell r="AC542">
            <v>34080.802283977006</v>
          </cell>
        </row>
        <row r="543">
          <cell r="AC543">
            <v>6852577.364320308</v>
          </cell>
        </row>
        <row r="544">
          <cell r="AC544">
            <v>566.8452791497195</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9605.3424250023</v>
          </cell>
        </row>
        <row r="554">
          <cell r="AC554">
            <v>85018.7367027016</v>
          </cell>
        </row>
        <row r="555">
          <cell r="AC555">
            <v>12603.058932842501</v>
          </cell>
        </row>
        <row r="556">
          <cell r="AC556">
            <v>107640.9351143257</v>
          </cell>
        </row>
        <row r="557">
          <cell r="AC557">
            <v>1012883.8382648068</v>
          </cell>
        </row>
        <row r="558">
          <cell r="AC558">
            <v>154543.80188851774</v>
          </cell>
        </row>
        <row r="559">
          <cell r="AC559">
            <v>836714.358058</v>
          </cell>
        </row>
        <row r="560">
          <cell r="AC560">
            <v>11921.138642</v>
          </cell>
        </row>
        <row r="561">
          <cell r="AC561">
            <v>36367.599751763584</v>
          </cell>
        </row>
        <row r="562">
          <cell r="AC562">
            <v>5062.2266824276</v>
          </cell>
        </row>
        <row r="563">
          <cell r="AC563">
            <v>4938.415739876477</v>
          </cell>
        </row>
        <row r="564">
          <cell r="AC564">
            <v>2377673.0975819007</v>
          </cell>
        </row>
        <row r="565">
          <cell r="AC565">
            <v>2747184.3197389524</v>
          </cell>
        </row>
        <row r="566">
          <cell r="AC566">
            <v>5290.158152569908</v>
          </cell>
        </row>
        <row r="567">
          <cell r="AC567">
            <v>5560.752188458748</v>
          </cell>
        </row>
        <row r="568">
          <cell r="AC568">
            <v>3350.652279016053</v>
          </cell>
        </row>
        <row r="569">
          <cell r="AC569">
            <v>5974103.821184481</v>
          </cell>
        </row>
        <row r="570">
          <cell r="AC570">
            <v>1491722.865214088</v>
          </cell>
        </row>
        <row r="571">
          <cell r="AC571">
            <v>254201165.7720543</v>
          </cell>
        </row>
        <row r="572">
          <cell r="AC572">
            <v>1698031.1828313372</v>
          </cell>
        </row>
        <row r="573">
          <cell r="AC573">
            <v>1491698.1030255777</v>
          </cell>
        </row>
        <row r="574">
          <cell r="AC574">
            <v>422.1505631562385</v>
          </cell>
        </row>
        <row r="575">
          <cell r="AC575">
            <v>22599599.782042503</v>
          </cell>
        </row>
        <row r="576">
          <cell r="AC576">
            <v>696411.158364</v>
          </cell>
        </row>
        <row r="577">
          <cell r="AC577">
            <v>4433.7890690020395</v>
          </cell>
        </row>
        <row r="578">
          <cell r="AC578">
            <v>5071.773550286965</v>
          </cell>
        </row>
        <row r="579">
          <cell r="AC579">
            <v>5071.773550286965</v>
          </cell>
        </row>
        <row r="580">
          <cell r="AC580">
            <v>8957743.472366048</v>
          </cell>
        </row>
        <row r="581">
          <cell r="AC581">
            <v>66531.693858</v>
          </cell>
        </row>
        <row r="582">
          <cell r="AC582">
            <v>99.64543328210858</v>
          </cell>
        </row>
        <row r="583">
          <cell r="AC583">
            <v>443596.40844381665</v>
          </cell>
        </row>
        <row r="584">
          <cell r="AC584">
            <v>5556.824872017038</v>
          </cell>
        </row>
        <row r="585">
          <cell r="AC585">
            <v>25102.295677714425</v>
          </cell>
        </row>
        <row r="586">
          <cell r="AC586">
            <v>298339.62060511555</v>
          </cell>
        </row>
        <row r="587">
          <cell r="AC587">
            <v>1613.71900785307</v>
          </cell>
        </row>
        <row r="588">
          <cell r="AC588">
            <v>5255700.024317999</v>
          </cell>
        </row>
        <row r="589">
          <cell r="AC589">
            <v>8255711.5609315345</v>
          </cell>
        </row>
        <row r="590">
          <cell r="AC590">
            <v>6.828217972769622</v>
          </cell>
        </row>
        <row r="591">
          <cell r="AC591">
            <v>52806.112847105454</v>
          </cell>
        </row>
        <row r="592">
          <cell r="AC592">
            <v>789738.6881188692</v>
          </cell>
        </row>
        <row r="593">
          <cell r="AC593">
            <v>71099336.42975023</v>
          </cell>
        </row>
        <row r="594">
          <cell r="AC594">
            <v>22224.698546</v>
          </cell>
        </row>
        <row r="595">
          <cell r="AC595">
            <v>779565.0087166142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6195815.208576793</v>
          </cell>
        </row>
        <row r="603">
          <cell r="AC603">
            <v>269153.2585310597</v>
          </cell>
        </row>
        <row r="604">
          <cell r="AC604">
            <v>2385175.444021258</v>
          </cell>
        </row>
        <row r="605">
          <cell r="AC605">
            <v>164471.35110377354</v>
          </cell>
        </row>
        <row r="606">
          <cell r="AC606">
            <v>25642649.59191289</v>
          </cell>
        </row>
        <row r="607">
          <cell r="AC607">
            <v>60243.71958879098</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5734176.711576882</v>
          </cell>
        </row>
        <row r="616">
          <cell r="AC616">
            <v>183.01265800000002</v>
          </cell>
        </row>
        <row r="617">
          <cell r="AC617">
            <v>149.76648954376805</v>
          </cell>
        </row>
        <row r="618">
          <cell r="AC618">
            <v>900.295698</v>
          </cell>
        </row>
        <row r="619">
          <cell r="AC619">
            <v>900052.1495545756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29.82853114420414</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v>
          </cell>
        </row>
        <row r="634">
          <cell r="AC634">
            <v>131853500</v>
          </cell>
        </row>
        <row r="635">
          <cell r="AC635">
            <v>8738754.738254</v>
          </cell>
        </row>
        <row r="636">
          <cell r="AC636">
            <v>7283955.474972</v>
          </cell>
        </row>
        <row r="637">
          <cell r="AC637">
            <v>1593735.4058879998</v>
          </cell>
        </row>
        <row r="638">
          <cell r="AC638">
            <v>59382193.61629</v>
          </cell>
        </row>
        <row r="639">
          <cell r="AC639">
            <v>904010.274802</v>
          </cell>
        </row>
        <row r="640">
          <cell r="AC640">
            <v>2487082.951852</v>
          </cell>
        </row>
        <row r="641">
          <cell r="AC641">
            <v>34072009.248866</v>
          </cell>
        </row>
        <row r="642">
          <cell r="AC642">
            <v>2983396.2060511555</v>
          </cell>
        </row>
        <row r="643">
          <cell r="AC643">
            <v>22665038.78778451</v>
          </cell>
        </row>
        <row r="644">
          <cell r="AC644">
            <v>8340138.988506197</v>
          </cell>
        </row>
        <row r="645">
          <cell r="AC645">
            <v>14171131.978742989</v>
          </cell>
        </row>
        <row r="646">
          <cell r="AC646">
            <v>751372.2129090513</v>
          </cell>
        </row>
        <row r="647">
          <cell r="AC647">
            <v>6075530.342001601</v>
          </cell>
        </row>
        <row r="648">
          <cell r="AC648">
            <v>1432030.1789045546</v>
          </cell>
        </row>
        <row r="649">
          <cell r="AC649">
            <v>53742960.713767365</v>
          </cell>
        </row>
        <row r="650">
          <cell r="AC650">
            <v>67091415.52023895</v>
          </cell>
        </row>
        <row r="651">
          <cell r="AC651">
            <v>1551366.0271466007</v>
          </cell>
        </row>
        <row r="652">
          <cell r="AC652">
            <v>924450.6620672826</v>
          </cell>
        </row>
        <row r="653">
          <cell r="AC653">
            <v>12401227.406069212</v>
          </cell>
        </row>
        <row r="654">
          <cell r="AC654">
            <v>1664597.548411446</v>
          </cell>
        </row>
        <row r="655">
          <cell r="AC655">
            <v>3417785.5554634775</v>
          </cell>
        </row>
        <row r="656">
          <cell r="AC656">
            <v>103523265.69269605</v>
          </cell>
        </row>
        <row r="657">
          <cell r="AC657">
            <v>491155.9207229605</v>
          </cell>
        </row>
        <row r="658">
          <cell r="AC658">
            <v>3010576.038769752</v>
          </cell>
        </row>
        <row r="659">
          <cell r="AC659">
            <v>1525863.416726244</v>
          </cell>
        </row>
        <row r="660">
          <cell r="AC660">
            <v>918460.0057183087</v>
          </cell>
        </row>
        <row r="661">
          <cell r="AC661">
            <v>2489466.621875429</v>
          </cell>
        </row>
        <row r="662">
          <cell r="AC662">
            <v>1179510.464200049</v>
          </cell>
        </row>
        <row r="663">
          <cell r="AC663">
            <v>155763115.9179308</v>
          </cell>
        </row>
        <row r="664">
          <cell r="AC664">
            <v>145668.53029245415</v>
          </cell>
        </row>
        <row r="665">
          <cell r="AC665">
            <v>3066198.876052002</v>
          </cell>
        </row>
        <row r="666">
          <cell r="AC666">
            <v>18145132.79651</v>
          </cell>
        </row>
        <row r="667">
          <cell r="AC667">
            <v>2203237.799829158</v>
          </cell>
        </row>
        <row r="668">
          <cell r="AC668">
            <v>705341.6911855087</v>
          </cell>
        </row>
        <row r="669">
          <cell r="AC669">
            <v>3662541.8377875546</v>
          </cell>
        </row>
        <row r="670">
          <cell r="AC670">
            <v>1114143.644697013</v>
          </cell>
        </row>
        <row r="671">
          <cell r="AC671">
            <v>9163362.78487015</v>
          </cell>
        </row>
        <row r="672">
          <cell r="AC672">
            <v>2322794.70673191</v>
          </cell>
        </row>
        <row r="673">
          <cell r="AC673">
            <v>2193684.22100819</v>
          </cell>
        </row>
        <row r="674">
          <cell r="AC674">
            <v>1845949</v>
          </cell>
        </row>
        <row r="675">
          <cell r="AC675">
            <v>11933584.824204622</v>
          </cell>
        </row>
        <row r="676">
          <cell r="AC676">
            <v>1845949</v>
          </cell>
        </row>
        <row r="677">
          <cell r="AC677">
            <v>36781729.999952</v>
          </cell>
        </row>
        <row r="678">
          <cell r="AC678">
            <v>1297288.9676733224</v>
          </cell>
        </row>
        <row r="679">
          <cell r="AC679">
            <v>3016316.002738</v>
          </cell>
        </row>
        <row r="680">
          <cell r="AC680">
            <v>2637070</v>
          </cell>
        </row>
        <row r="681">
          <cell r="AC681">
            <v>1512084.544320387</v>
          </cell>
        </row>
        <row r="682">
          <cell r="AC682">
            <v>11933584.824204622</v>
          </cell>
        </row>
        <row r="683">
          <cell r="AC683">
            <v>4256091.845439516</v>
          </cell>
        </row>
        <row r="684">
          <cell r="AC684">
            <v>5447027.244651488</v>
          </cell>
        </row>
        <row r="685">
          <cell r="AC685">
            <v>9075483.50197748</v>
          </cell>
        </row>
        <row r="686">
          <cell r="AC686">
            <v>16692847.025228487</v>
          </cell>
        </row>
        <row r="687">
          <cell r="AC687">
            <v>30880170.394342</v>
          </cell>
        </row>
        <row r="688">
          <cell r="AC688">
            <v>54848118.66743136</v>
          </cell>
        </row>
        <row r="689">
          <cell r="AC689">
            <v>11005773.119834818</v>
          </cell>
        </row>
        <row r="690">
          <cell r="AC690">
            <v>24035976.47087965</v>
          </cell>
        </row>
        <row r="691">
          <cell r="AC691">
            <v>68017913.09044321</v>
          </cell>
        </row>
        <row r="692">
          <cell r="AC692">
            <v>65338465.28986455</v>
          </cell>
        </row>
        <row r="693">
          <cell r="AC693">
            <v>64499743.11445738</v>
          </cell>
        </row>
        <row r="694">
          <cell r="AC694">
            <v>43395353.48945422</v>
          </cell>
        </row>
        <row r="695">
          <cell r="AC695">
            <v>338166781.106</v>
          </cell>
        </row>
        <row r="696">
          <cell r="AC696">
            <v>374497299.14301753</v>
          </cell>
        </row>
        <row r="697">
          <cell r="AC697">
            <v>392434363.7991495</v>
          </cell>
        </row>
        <row r="698">
          <cell r="AC698">
            <v>14113020.594255999</v>
          </cell>
        </row>
        <row r="699">
          <cell r="AC699">
            <v>6723254.79519</v>
          </cell>
        </row>
        <row r="700">
          <cell r="AC700">
            <v>115920825.90814878</v>
          </cell>
        </row>
        <row r="701">
          <cell r="AC701">
            <v>7786136.633344286</v>
          </cell>
        </row>
        <row r="702">
          <cell r="AC702">
            <v>5966792.412102311</v>
          </cell>
        </row>
        <row r="703">
          <cell r="AC703">
            <v>8950188.618153466</v>
          </cell>
        </row>
        <row r="704">
          <cell r="AC704">
            <v>2225716.08777</v>
          </cell>
        </row>
        <row r="705">
          <cell r="AC705">
            <v>2999382.43628166</v>
          </cell>
        </row>
        <row r="706">
          <cell r="AC706">
            <v>61629507.12650175</v>
          </cell>
        </row>
        <row r="707">
          <cell r="AC707">
            <v>2996163.05343571</v>
          </cell>
        </row>
        <row r="708">
          <cell r="AC708">
            <v>136724566.46554375</v>
          </cell>
        </row>
        <row r="709">
          <cell r="AC709">
            <v>30060579.941304337</v>
          </cell>
        </row>
        <row r="710">
          <cell r="AC710">
            <v>3985807.3627099996</v>
          </cell>
        </row>
        <row r="711">
          <cell r="AC711">
            <v>5565954.933102482</v>
          </cell>
        </row>
        <row r="712">
          <cell r="AC712">
            <v>93816950.25395764</v>
          </cell>
        </row>
        <row r="713">
          <cell r="AC713">
            <v>1398670.6126713043</v>
          </cell>
        </row>
      </sheetData>
      <sheetData sheetId="3">
        <row r="15">
          <cell r="Q15">
            <v>267754849.70859998</v>
          </cell>
        </row>
        <row r="16">
          <cell r="Q16">
            <v>292676005.071</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v>
          </cell>
        </row>
        <row r="26">
          <cell r="Q26">
            <v>29595290.364027463</v>
          </cell>
        </row>
        <row r="27">
          <cell r="Q27">
            <v>8300058.325794778</v>
          </cell>
        </row>
        <row r="28">
          <cell r="Q28">
            <v>127184805.65262207</v>
          </cell>
        </row>
        <row r="29">
          <cell r="Q29">
            <v>37373506.67712393</v>
          </cell>
        </row>
        <row r="30">
          <cell r="Q30">
            <v>31172910.277787313</v>
          </cell>
        </row>
        <row r="31">
          <cell r="Q31">
            <v>596679241.2102311</v>
          </cell>
        </row>
        <row r="32">
          <cell r="Q32">
            <v>10298832.873098891</v>
          </cell>
        </row>
        <row r="33">
          <cell r="Q33">
            <v>596679241.2102311</v>
          </cell>
        </row>
        <row r="34">
          <cell r="Q34">
            <v>90009011.02879015</v>
          </cell>
        </row>
        <row r="35">
          <cell r="Q35">
            <v>56492141.82058702</v>
          </cell>
        </row>
        <row r="36">
          <cell r="Q36">
            <v>32175092.731324017</v>
          </cell>
        </row>
        <row r="37">
          <cell r="Q37">
            <v>75877054.62230803</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v>
          </cell>
          <cell r="S5" t="str">
            <v>(blan</v>
          </cell>
          <cell r="X5" t="e">
            <v>#DIV/0!</v>
          </cell>
          <cell r="Y5" t="e">
            <v>#N/A</v>
          </cell>
        </row>
        <row r="6">
          <cell r="C6" t="str">
            <v>GBPAJ1</v>
          </cell>
          <cell r="D6">
            <v>5.07</v>
          </cell>
          <cell r="E6">
            <v>5.07</v>
          </cell>
          <cell r="F6">
            <v>538738.9098</v>
          </cell>
          <cell r="G6">
            <v>-10626014</v>
          </cell>
          <cell r="H6">
            <v>5.07</v>
          </cell>
          <cell r="I6">
            <v>10626014</v>
          </cell>
          <cell r="K6" t="str">
            <v>AJTRUE</v>
          </cell>
          <cell r="L6">
            <v>5.07</v>
          </cell>
          <cell r="M6">
            <v>5.07</v>
          </cell>
          <cell r="N6">
            <v>538738.9098</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v>
          </cell>
          <cell r="G8">
            <v>-56566.49626386777</v>
          </cell>
          <cell r="H8">
            <v>4.21</v>
          </cell>
          <cell r="I8">
            <v>100000</v>
          </cell>
          <cell r="K8" t="str">
            <v>ABTRUE</v>
          </cell>
          <cell r="L8">
            <v>2.4</v>
          </cell>
          <cell r="M8">
            <v>5.59</v>
          </cell>
          <cell r="N8">
            <v>248338.68827662594</v>
          </cell>
          <cell r="O8">
            <v>-5223428.842889872</v>
          </cell>
          <cell r="P8">
            <v>4.754323180159033</v>
          </cell>
          <cell r="S8" t="str">
            <v>GBPAJ</v>
          </cell>
          <cell r="T8">
            <v>5.07</v>
          </cell>
          <cell r="U8">
            <v>5.07</v>
          </cell>
          <cell r="V8">
            <v>538738.9098</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v>
          </cell>
          <cell r="P9">
            <v>4.370859719189769</v>
          </cell>
          <cell r="S9" t="str">
            <v>USDAE</v>
          </cell>
          <cell r="T9">
            <v>4.15</v>
          </cell>
          <cell r="U9">
            <v>4.4</v>
          </cell>
          <cell r="V9">
            <v>19345.741722242776</v>
          </cell>
          <cell r="W9">
            <v>-452531.97011094214</v>
          </cell>
          <cell r="X9">
            <v>4.275</v>
          </cell>
          <cell r="Y9">
            <v>800000</v>
          </cell>
        </row>
        <row r="10">
          <cell r="C10" t="str">
            <v>USDAE11</v>
          </cell>
          <cell r="D10">
            <v>4.15</v>
          </cell>
          <cell r="E10">
            <v>4.4</v>
          </cell>
          <cell r="F10">
            <v>19345.741722242776</v>
          </cell>
          <cell r="G10">
            <v>-452531.97011094214</v>
          </cell>
          <cell r="H10">
            <v>4.275</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v>
          </cell>
          <cell r="X10">
            <v>4.370859719189769</v>
          </cell>
          <cell r="Y10">
            <v>15001789.599999998</v>
          </cell>
        </row>
        <row r="11">
          <cell r="C11" t="str">
            <v>USDAF8</v>
          </cell>
          <cell r="D11">
            <v>3.6</v>
          </cell>
          <cell r="E11">
            <v>3.6</v>
          </cell>
          <cell r="F11">
            <v>48099.21582431895</v>
          </cell>
          <cell r="G11">
            <v>-1336089.328453304</v>
          </cell>
          <cell r="H11">
            <v>3.6</v>
          </cell>
          <cell r="I11">
            <v>2361980</v>
          </cell>
          <cell r="K11" t="str">
            <v>AETRUE</v>
          </cell>
          <cell r="L11">
            <v>4.15</v>
          </cell>
          <cell r="M11">
            <v>4.4</v>
          </cell>
          <cell r="N11">
            <v>19345.741722242776</v>
          </cell>
          <cell r="O11">
            <v>-452531.97011094214</v>
          </cell>
          <cell r="P11">
            <v>4.275</v>
          </cell>
          <cell r="S11" t="str">
            <v>(blank)</v>
          </cell>
          <cell r="T11">
            <v>2.4</v>
          </cell>
          <cell r="U11">
            <v>5.59</v>
          </cell>
          <cell r="V11">
            <v>2177584.9499438205</v>
          </cell>
          <cell r="W11">
            <v>-48870649.400598526</v>
          </cell>
          <cell r="X11">
            <v>4.455813410814122</v>
          </cell>
          <cell r="Y11" t="e">
            <v>#N/A</v>
          </cell>
        </row>
        <row r="12">
          <cell r="C12" t="str">
            <v>USDAG1</v>
          </cell>
          <cell r="D12">
            <v>4.23</v>
          </cell>
          <cell r="E12">
            <v>4.59</v>
          </cell>
          <cell r="F12">
            <v>368529.1272960552</v>
          </cell>
          <cell r="G12">
            <v>-8429420.257333435</v>
          </cell>
          <cell r="H12">
            <v>4.371939184968763</v>
          </cell>
          <cell r="I12">
            <v>14901789.6</v>
          </cell>
          <cell r="K12" t="str">
            <v>AFTRUE</v>
          </cell>
          <cell r="L12">
            <v>3.6</v>
          </cell>
          <cell r="M12">
            <v>4.18</v>
          </cell>
          <cell r="N12">
            <v>993891.0333561879</v>
          </cell>
          <cell r="O12">
            <v>-23962687.83400041</v>
          </cell>
          <cell r="P12">
            <v>4.147660897814503</v>
          </cell>
          <cell r="S12" t="str">
            <v>USDAF</v>
          </cell>
          <cell r="T12">
            <v>3.6</v>
          </cell>
          <cell r="U12">
            <v>4.18</v>
          </cell>
          <cell r="V12">
            <v>993891.0333561879</v>
          </cell>
          <cell r="W12">
            <v>-23962687.83400041</v>
          </cell>
          <cell r="X12">
            <v>4.147660897814503</v>
          </cell>
          <cell r="Y12">
            <v>42361979.99999999</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4355169.899887642</v>
          </cell>
          <cell r="O13">
            <v>-97741298.80119704</v>
          </cell>
          <cell r="P13">
            <v>4.455813410814123</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-2566056.108647043</v>
          </cell>
          <cell r="H14">
            <v>4.084546019925503</v>
          </cell>
          <cell r="I14">
            <v>4536353.28</v>
          </cell>
          <cell r="S14" t="str">
            <v>USDAB</v>
          </cell>
          <cell r="T14">
            <v>4.05</v>
          </cell>
          <cell r="U14">
            <v>4.12</v>
          </cell>
          <cell r="V14">
            <v>104811.74265479803</v>
          </cell>
          <cell r="W14">
            <v>-2566056.108647043</v>
          </cell>
          <cell r="X14">
            <v>4.084546019925503</v>
          </cell>
          <cell r="Y14">
            <v>4536353.28</v>
          </cell>
        </row>
        <row r="15">
          <cell r="C15" t="str">
            <v>USDAF9</v>
          </cell>
          <cell r="D15">
            <v>4.18</v>
          </cell>
          <cell r="E15">
            <v>4.18</v>
          </cell>
          <cell r="F15">
            <v>945791.8175318689</v>
          </cell>
          <cell r="G15">
            <v>-22626598.505547106</v>
          </cell>
          <cell r="H15">
            <v>4.18</v>
          </cell>
          <cell r="I15">
            <v>40000000</v>
          </cell>
          <cell r="S15" t="str">
            <v>Grand Total</v>
          </cell>
          <cell r="T15">
            <v>2.4</v>
          </cell>
          <cell r="U15">
            <v>5.59</v>
          </cell>
          <cell r="V15">
            <v>4355169.899887641</v>
          </cell>
          <cell r="W15">
            <v>-97741298.80119705</v>
          </cell>
        </row>
        <row r="16">
          <cell r="C16" t="str">
            <v>Grand Total</v>
          </cell>
          <cell r="D16">
            <v>2.4</v>
          </cell>
          <cell r="E16">
            <v>5.59</v>
          </cell>
          <cell r="F16">
            <v>2177584.9499438205</v>
          </cell>
          <cell r="G16">
            <v>-48870649.400598526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8">
          <cell r="B8">
            <v>1.7611594</v>
          </cell>
        </row>
      </sheetData>
      <sheetData sheetId="2">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v>
          </cell>
          <cell r="H5">
            <v>366960.42000000004</v>
          </cell>
          <cell r="J5" t="str">
            <v>10TRUE</v>
          </cell>
          <cell r="K5">
            <v>1.7</v>
          </cell>
          <cell r="L5">
            <v>6.7</v>
          </cell>
          <cell r="M5">
            <v>3884860.440884899</v>
          </cell>
          <cell r="N5">
            <v>131118999.4657953</v>
          </cell>
          <cell r="O5">
            <v>2.9628508886679947</v>
          </cell>
        </row>
        <row r="6">
          <cell r="B6" t="str">
            <v>AUD9</v>
          </cell>
          <cell r="C6">
            <v>1</v>
          </cell>
          <cell r="D6">
            <v>1</v>
          </cell>
          <cell r="E6">
            <v>27.20879740297239</v>
          </cell>
          <cell r="F6">
            <v>2720.879740297239</v>
          </cell>
          <cell r="G6">
            <v>1</v>
          </cell>
          <cell r="H6">
            <v>6304.16</v>
          </cell>
          <cell r="J6" t="str">
            <v>11FALSE</v>
          </cell>
          <cell r="K6">
            <v>5.15</v>
          </cell>
          <cell r="L6">
            <v>5.35</v>
          </cell>
          <cell r="M6">
            <v>8243.887017300498</v>
          </cell>
          <cell r="N6">
            <v>158380.36665772536</v>
          </cell>
          <cell r="O6">
            <v>5.205119290521849</v>
          </cell>
        </row>
        <row r="7">
          <cell r="B7" t="str">
            <v>CHF9</v>
          </cell>
          <cell r="C7">
            <v>0</v>
          </cell>
          <cell r="D7">
            <v>0</v>
          </cell>
          <cell r="E7">
            <v>0</v>
          </cell>
          <cell r="F7">
            <v>32464.83399694956</v>
          </cell>
          <cell r="G7">
            <v>0</v>
          </cell>
          <cell r="H7">
            <v>73459.92</v>
          </cell>
          <cell r="J7" t="str">
            <v>11TRUE</v>
          </cell>
          <cell r="K7">
            <v>1</v>
          </cell>
          <cell r="L7">
            <v>4.64</v>
          </cell>
          <cell r="M7">
            <v>525305.0524252702</v>
          </cell>
          <cell r="N7">
            <v>13280709.143071374</v>
          </cell>
          <cell r="O7">
            <v>3.955399118874048</v>
          </cell>
        </row>
        <row r="8">
          <cell r="B8" t="str">
            <v>EUR10</v>
          </cell>
          <cell r="C8">
            <v>1.7</v>
          </cell>
          <cell r="D8">
            <v>1.75</v>
          </cell>
          <cell r="E8">
            <v>15488.766003342083</v>
          </cell>
          <cell r="F8">
            <v>886062.3384623792</v>
          </cell>
          <cell r="G8">
            <v>1.748044729022157</v>
          </cell>
          <cell r="H8">
            <v>1284148.35</v>
          </cell>
          <cell r="J8" t="str">
            <v>12TRUE</v>
          </cell>
          <cell r="K8">
            <v>1.7</v>
          </cell>
          <cell r="L8">
            <v>4.91</v>
          </cell>
          <cell r="M8">
            <v>691291.5369291314</v>
          </cell>
          <cell r="N8">
            <v>16077546.394338334</v>
          </cell>
          <cell r="O8">
            <v>4.2997328073179615</v>
          </cell>
        </row>
        <row r="9">
          <cell r="B9" t="str">
            <v>EUR11</v>
          </cell>
          <cell r="C9">
            <v>1</v>
          </cell>
          <cell r="D9">
            <v>1.85</v>
          </cell>
          <cell r="E9">
            <v>1605.9934640441697</v>
          </cell>
          <cell r="F9">
            <v>90469.56844779121</v>
          </cell>
          <cell r="G9">
            <v>1.7751753342019834</v>
          </cell>
          <cell r="H9">
            <v>131115.32</v>
          </cell>
          <cell r="J9" t="str">
            <v>13TRUE</v>
          </cell>
          <cell r="K9">
            <v>3.2</v>
          </cell>
          <cell r="L9">
            <v>4.8</v>
          </cell>
          <cell r="M9">
            <v>16657.65322548317</v>
          </cell>
          <cell r="N9">
            <v>490051.02547787555</v>
          </cell>
          <cell r="O9">
            <v>3.3991670988218785</v>
          </cell>
        </row>
        <row r="10">
          <cell r="B10" t="str">
            <v>EUR9</v>
          </cell>
          <cell r="C10">
            <v>0</v>
          </cell>
          <cell r="D10">
            <v>0.25</v>
          </cell>
          <cell r="E10">
            <v>8206.81043092293</v>
          </cell>
          <cell r="F10">
            <v>5933044.547640842</v>
          </cell>
          <cell r="G10">
            <v>0.13832376219366505</v>
          </cell>
          <cell r="H10">
            <v>8598615.510000002</v>
          </cell>
          <cell r="J10" t="str">
            <v>14TRUE</v>
          </cell>
          <cell r="K10">
            <v>5.09</v>
          </cell>
          <cell r="L10">
            <v>5.09</v>
          </cell>
          <cell r="M10">
            <v>127250</v>
          </cell>
          <cell r="N10">
            <v>2500000</v>
          </cell>
          <cell r="O10">
            <v>5.09</v>
          </cell>
        </row>
        <row r="11">
          <cell r="B11" t="str">
            <v>GBP10</v>
          </cell>
          <cell r="C11">
            <v>3.95</v>
          </cell>
          <cell r="D11">
            <v>3.95</v>
          </cell>
          <cell r="E11">
            <v>22980.355425</v>
          </cell>
          <cell r="F11">
            <v>581781.15</v>
          </cell>
          <cell r="G11">
            <v>3.9499999999999997</v>
          </cell>
          <cell r="H11">
            <v>581781.15</v>
          </cell>
          <cell r="J11" t="str">
            <v>15TRUE</v>
          </cell>
          <cell r="K11">
            <v>3.62</v>
          </cell>
          <cell r="L11">
            <v>3.62</v>
          </cell>
          <cell r="M11">
            <v>46862.15705404065</v>
          </cell>
          <cell r="N11">
            <v>1294534.7252497417</v>
          </cell>
          <cell r="O11">
            <v>3.6199999999999997</v>
          </cell>
        </row>
        <row r="12">
          <cell r="B12" t="str">
            <v>GBP11</v>
          </cell>
          <cell r="C12">
            <v>3.9</v>
          </cell>
          <cell r="D12">
            <v>4.64</v>
          </cell>
          <cell r="E12">
            <v>419436.132204</v>
          </cell>
          <cell r="F12">
            <v>9325484.13</v>
          </cell>
          <cell r="G12">
            <v>4.497741096943994</v>
          </cell>
          <cell r="H12">
            <v>9325484.13</v>
          </cell>
          <cell r="J12" t="str">
            <v>17TRUE</v>
          </cell>
          <cell r="K12">
            <v>3.8</v>
          </cell>
          <cell r="L12">
            <v>3.8</v>
          </cell>
          <cell r="M12">
            <v>47254.47338838267</v>
          </cell>
          <cell r="N12">
            <v>1243538.7733784914</v>
          </cell>
          <cell r="O12">
            <v>3.8</v>
          </cell>
        </row>
        <row r="13">
          <cell r="B13" t="str">
            <v>GBP12</v>
          </cell>
          <cell r="C13">
            <v>3.95</v>
          </cell>
          <cell r="D13">
            <v>4.91</v>
          </cell>
          <cell r="E13">
            <v>558339.60046</v>
          </cell>
          <cell r="F13">
            <v>11485663.97</v>
          </cell>
          <cell r="G13">
            <v>4.8611869711525255</v>
          </cell>
          <cell r="H13">
            <v>11485663.97</v>
          </cell>
          <cell r="J13" t="str">
            <v>18TRUE</v>
          </cell>
          <cell r="K13">
            <v>3.95</v>
          </cell>
          <cell r="L13">
            <v>3.95</v>
          </cell>
          <cell r="M13">
            <v>48489.25173950751</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92546.37364635406</v>
          </cell>
          <cell r="O14">
            <v>0.029400176723233827</v>
          </cell>
        </row>
        <row r="15">
          <cell r="B15" t="str">
            <v>GBP14</v>
          </cell>
          <cell r="C15">
            <v>5.09</v>
          </cell>
          <cell r="D15">
            <v>5.09</v>
          </cell>
          <cell r="E15">
            <v>127250</v>
          </cell>
          <cell r="F15">
            <v>2500000</v>
          </cell>
          <cell r="G15">
            <v>5.09</v>
          </cell>
          <cell r="H15">
            <v>2500000</v>
          </cell>
          <cell r="J15" t="str">
            <v>9TRUE</v>
          </cell>
          <cell r="K15">
            <v>0</v>
          </cell>
          <cell r="L15">
            <v>4</v>
          </cell>
          <cell r="M15">
            <v>317994.4926006678</v>
          </cell>
          <cell r="N15">
            <v>84580963.83112127</v>
          </cell>
          <cell r="O15">
            <v>0.37596461212666255</v>
          </cell>
        </row>
        <row r="16">
          <cell r="B16" t="str">
            <v>GBP9</v>
          </cell>
          <cell r="C16">
            <v>0</v>
          </cell>
          <cell r="D16">
            <v>1.75</v>
          </cell>
          <cell r="E16">
            <v>11152.5496</v>
          </cell>
          <cell r="F16">
            <v>2109043.55</v>
          </cell>
          <cell r="G16">
            <v>0.5287965533001915</v>
          </cell>
          <cell r="H16">
            <v>2109043.55</v>
          </cell>
          <cell r="J16" t="str">
            <v>(blank)</v>
          </cell>
          <cell r="O16" t="e">
            <v>#DIV/0!</v>
          </cell>
        </row>
        <row r="17">
          <cell r="B17" t="str">
            <v>JPY9</v>
          </cell>
          <cell r="C17">
            <v>0</v>
          </cell>
          <cell r="D17">
            <v>0</v>
          </cell>
          <cell r="E17">
            <v>0</v>
          </cell>
          <cell r="F17">
            <v>55237.19964603637</v>
          </cell>
          <cell r="G17">
            <v>0</v>
          </cell>
          <cell r="H17">
            <v>10905000</v>
          </cell>
          <cell r="J17" t="str">
            <v>anFALSE</v>
          </cell>
          <cell r="O17" t="e">
            <v>#DIV/0!</v>
          </cell>
        </row>
        <row r="18">
          <cell r="B18" t="str">
            <v>SGD9</v>
          </cell>
          <cell r="C18">
            <v>0</v>
          </cell>
          <cell r="D18">
            <v>0</v>
          </cell>
          <cell r="E18">
            <v>0</v>
          </cell>
          <cell r="F18">
            <v>2123.460263070877</v>
          </cell>
          <cell r="G18">
            <v>0</v>
          </cell>
          <cell r="H18">
            <v>6207.89</v>
          </cell>
          <cell r="J18" t="str">
            <v>ndFALSE</v>
          </cell>
          <cell r="K18">
            <v>0</v>
          </cell>
          <cell r="L18">
            <v>6.7</v>
          </cell>
          <cell r="M18">
            <v>5714236.154062086</v>
          </cell>
          <cell r="N18">
            <v>252064846.0921417</v>
          </cell>
        </row>
        <row r="19">
          <cell r="B19" t="str">
            <v>USD10</v>
          </cell>
          <cell r="C19">
            <v>2.5</v>
          </cell>
          <cell r="D19">
            <v>3.1</v>
          </cell>
          <cell r="E19">
            <v>3718102.597127211</v>
          </cell>
          <cell r="F19">
            <v>127724811.85973287</v>
          </cell>
          <cell r="G19">
            <v>2.9110260903812675</v>
          </cell>
          <cell r="H19">
            <v>224943753.02</v>
          </cell>
          <cell r="J19" t="str">
            <v>FALSE</v>
          </cell>
        </row>
        <row r="20">
          <cell r="B20" t="str">
            <v>USD11</v>
          </cell>
          <cell r="C20">
            <v>2.3</v>
          </cell>
          <cell r="D20">
            <v>2.8</v>
          </cell>
          <cell r="E20">
            <v>104262.92675722597</v>
          </cell>
          <cell r="F20">
            <v>3864755.444623582</v>
          </cell>
          <cell r="G20">
            <v>2.697788469443011</v>
          </cell>
          <cell r="H20">
            <v>6806450.380000001</v>
          </cell>
          <cell r="J20" t="str">
            <v>Grand Total</v>
          </cell>
          <cell r="K20">
            <v>0</v>
          </cell>
          <cell r="L20">
            <v>6.7</v>
          </cell>
          <cell r="M20">
            <v>11428472.30812417</v>
          </cell>
          <cell r="N20">
            <v>504129692.1842834</v>
          </cell>
        </row>
        <row r="21">
          <cell r="B21" t="str">
            <v>USD12</v>
          </cell>
          <cell r="C21">
            <v>2.5</v>
          </cell>
          <cell r="D21">
            <v>3.65</v>
          </cell>
          <cell r="E21">
            <v>129591.00312271563</v>
          </cell>
          <cell r="F21">
            <v>4400693.599909242</v>
          </cell>
          <cell r="G21">
            <v>2.9447858656959953</v>
          </cell>
          <cell r="H21">
            <v>7750322.9</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46862.15705404065</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v>
          </cell>
          <cell r="F25">
            <v>1227575.9934052534</v>
          </cell>
          <cell r="G25">
            <v>3.95</v>
          </cell>
          <cell r="H25">
            <v>2161957</v>
          </cell>
        </row>
        <row r="26">
          <cell r="B26" t="str">
            <v>USD9</v>
          </cell>
          <cell r="C26">
            <v>0</v>
          </cell>
          <cell r="D26">
            <v>0.75</v>
          </cell>
          <cell r="E26">
            <v>292370.9231329801</v>
          </cell>
          <cell r="F26">
            <v>75918720.18474385</v>
          </cell>
          <cell r="G26">
            <v>0.3851104476228159</v>
          </cell>
          <cell r="H26">
            <v>133704967.68933137</v>
          </cell>
        </row>
        <row r="27">
          <cell r="B27" t="str">
            <v>ZAR10</v>
          </cell>
          <cell r="C27">
            <v>6.3</v>
          </cell>
          <cell r="D27">
            <v>6.7</v>
          </cell>
          <cell r="E27">
            <v>128288.7223293461</v>
          </cell>
          <cell r="F27">
            <v>1926344.1176000508</v>
          </cell>
          <cell r="G27">
            <v>6.659699124223739</v>
          </cell>
          <cell r="H27">
            <v>22285288.91</v>
          </cell>
        </row>
        <row r="28">
          <cell r="B28" t="str">
            <v>ZAR9</v>
          </cell>
          <cell r="C28">
            <v>1</v>
          </cell>
          <cell r="D28">
            <v>4</v>
          </cell>
          <cell r="E28">
            <v>6264.20943676477</v>
          </cell>
          <cell r="F28">
            <v>620155.548736579</v>
          </cell>
          <cell r="G28">
            <v>1.0101029410325557</v>
          </cell>
          <cell r="H28">
            <v>7174390.830000002</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5714236.154062086</v>
          </cell>
          <cell r="F31">
            <v>252064846.0921417</v>
          </cell>
          <cell r="G31">
            <v>2.2669706794311417</v>
          </cell>
          <cell r="H31" t="e">
            <v>#REF!</v>
          </cell>
        </row>
        <row r="32">
          <cell r="G32" t="e">
            <v>#DIV/0!</v>
          </cell>
          <cell r="H32" t="e">
            <v>#REF!</v>
          </cell>
        </row>
        <row r="34">
          <cell r="G34" t="e">
            <v>#DIV/0!</v>
          </cell>
        </row>
      </sheetData>
      <sheetData sheetId="7">
        <row r="11">
          <cell r="A11" t="str">
            <v>AA</v>
          </cell>
          <cell r="B11" t="str">
            <v>Agriculture &amp; Fishing</v>
          </cell>
        </row>
        <row r="12">
          <cell r="B12" t="str">
            <v>  - of which</v>
          </cell>
        </row>
        <row r="13">
          <cell r="A13" t="str">
            <v>AA1</v>
          </cell>
          <cell r="B13" t="str">
            <v>      Mauritius Sugar Syndicate</v>
          </cell>
        </row>
        <row r="14">
          <cell r="A14" t="str">
            <v>AA2</v>
          </cell>
          <cell r="B14" t="str">
            <v>      Sugar Industry - Estates</v>
          </cell>
        </row>
        <row r="15">
          <cell r="A15" t="str">
            <v>AA3</v>
          </cell>
          <cell r="B15" t="str">
            <v>      Sugar Industry - Others</v>
          </cell>
        </row>
        <row r="16">
          <cell r="A16" t="str">
            <v>AA4</v>
          </cell>
          <cell r="B16" t="str">
            <v>      Agricultural Development Certificate Holders</v>
          </cell>
        </row>
        <row r="17">
          <cell r="A17" t="str">
            <v>AA5</v>
          </cell>
          <cell r="B17" t="str">
            <v>      Agro-based Industrial Certificate Holders</v>
          </cell>
        </row>
        <row r="18">
          <cell r="A18" t="str">
            <v>AA6</v>
          </cell>
          <cell r="B18" t="str">
            <v>      Sugarcane Planters</v>
          </cell>
        </row>
        <row r="19">
          <cell r="A19" t="str">
            <v>AA7</v>
          </cell>
          <cell r="B19" t="str">
            <v>      Other Plantation</v>
          </cell>
        </row>
        <row r="20">
          <cell r="A20" t="str">
            <v>AA8</v>
          </cell>
          <cell r="B20" t="str">
            <v>      Animal Breeding</v>
          </cell>
        </row>
        <row r="21">
          <cell r="A21" t="str">
            <v>AA9</v>
          </cell>
          <cell r="B21" t="str">
            <v>      Fishing</v>
          </cell>
        </row>
        <row r="22">
          <cell r="A22" t="str">
            <v>AA10</v>
          </cell>
          <cell r="B22" t="str">
            <v>      Other</v>
          </cell>
        </row>
        <row r="24">
          <cell r="A24" t="str">
            <v>AB</v>
          </cell>
          <cell r="B24" t="str">
            <v>Manufacturing</v>
          </cell>
        </row>
        <row r="25">
          <cell r="B25" t="str">
            <v>  - of which</v>
          </cell>
        </row>
        <row r="26">
          <cell r="A26" t="str">
            <v>AB1</v>
          </cell>
          <cell r="B26" t="str">
            <v>      Export Enterprise Certificate Holders</v>
          </cell>
        </row>
        <row r="27">
          <cell r="A27" t="str">
            <v>AB2</v>
          </cell>
          <cell r="B27" t="str">
            <v>      Export Service Certificate Holders</v>
          </cell>
        </row>
        <row r="28">
          <cell r="A28" t="str">
            <v>AB3</v>
          </cell>
          <cell r="B28" t="str">
            <v>      Pioneer Status Certificate Holders</v>
          </cell>
        </row>
        <row r="29">
          <cell r="A29" t="str">
            <v>AB4</v>
          </cell>
          <cell r="B29" t="str">
            <v>      Small and Medium Enterprise Certificate Holders</v>
          </cell>
        </row>
        <row r="30">
          <cell r="A30" t="str">
            <v>AB5</v>
          </cell>
          <cell r="B30" t="str">
            <v>      Strategic Local Enterprise Certificate Holders</v>
          </cell>
        </row>
        <row r="31">
          <cell r="A31" t="str">
            <v>AB6</v>
          </cell>
          <cell r="B31" t="str">
            <v>      Furnitures &amp; Wood Products</v>
          </cell>
        </row>
        <row r="32">
          <cell r="A32" t="str">
            <v>AB7</v>
          </cell>
          <cell r="B32" t="str">
            <v>      Printing &amp; Publishing</v>
          </cell>
        </row>
        <row r="33">
          <cell r="A33" t="str">
            <v>AB8</v>
          </cell>
          <cell r="B33" t="str">
            <v>      Steel/Metal Products</v>
          </cell>
        </row>
        <row r="34">
          <cell r="A34" t="str">
            <v>AB9</v>
          </cell>
          <cell r="B34" t="str">
            <v>      Food &amp; Beverages</v>
          </cell>
        </row>
        <row r="35">
          <cell r="A35" t="str">
            <v>AB10</v>
          </cell>
          <cell r="B35" t="str">
            <v>      Plastic Products</v>
          </cell>
        </row>
        <row r="36">
          <cell r="A36" t="str">
            <v>AB11</v>
          </cell>
          <cell r="B36" t="str">
            <v>      Pharmaceuticals &amp; Health Care</v>
          </cell>
        </row>
        <row r="37">
          <cell r="A37" t="str">
            <v>AB12</v>
          </cell>
          <cell r="B37" t="str">
            <v>      Jewellery &amp; Precision Engineering</v>
          </cell>
        </row>
        <row r="38">
          <cell r="A38" t="str">
            <v>AB13</v>
          </cell>
          <cell r="B38" t="str">
            <v>      Electronics</v>
          </cell>
        </row>
        <row r="39">
          <cell r="A39" t="str">
            <v>AB14</v>
          </cell>
          <cell r="B39" t="str">
            <v>      Leather Products &amp; Footwear</v>
          </cell>
        </row>
        <row r="40">
          <cell r="A40" t="str">
            <v>AB15</v>
          </cell>
          <cell r="B40" t="str">
            <v>      Paints</v>
          </cell>
        </row>
        <row r="41">
          <cell r="A41" t="str">
            <v>AB16</v>
          </cell>
          <cell r="B41" t="str">
            <v>      Cement</v>
          </cell>
        </row>
        <row r="42">
          <cell r="A42" t="str">
            <v>AB17</v>
          </cell>
          <cell r="B42" t="str">
            <v>      Other</v>
          </cell>
        </row>
        <row r="44">
          <cell r="A44" t="str">
            <v>AC</v>
          </cell>
          <cell r="B44" t="str">
            <v>Tourism</v>
          </cell>
        </row>
        <row r="45">
          <cell r="B45" t="str">
            <v>  - of which</v>
          </cell>
        </row>
        <row r="46">
          <cell r="A46" t="str">
            <v>AC1</v>
          </cell>
          <cell r="B46" t="str">
            <v>      Hotels</v>
          </cell>
        </row>
        <row r="47">
          <cell r="A47" t="str">
            <v>AC2</v>
          </cell>
          <cell r="B47" t="str">
            <v>      Tour Operators &amp; Travel Agents</v>
          </cell>
        </row>
        <row r="48">
          <cell r="A48" t="str">
            <v>AC3</v>
          </cell>
          <cell r="B48" t="str">
            <v>      Hotel Development Certificate Holders</v>
          </cell>
        </row>
        <row r="49">
          <cell r="A49" t="str">
            <v>AC4</v>
          </cell>
          <cell r="B49" t="str">
            <v>      Hotel Management Service Certificate Holders</v>
          </cell>
        </row>
        <row r="50">
          <cell r="A50" t="str">
            <v>AC5</v>
          </cell>
          <cell r="B50" t="str">
            <v>      Restaurants</v>
          </cell>
        </row>
        <row r="51">
          <cell r="A51" t="str">
            <v>AC6</v>
          </cell>
          <cell r="B51" t="str">
            <v>      Duty-Free Shops</v>
          </cell>
        </row>
        <row r="52">
          <cell r="A52" t="str">
            <v>AC7</v>
          </cell>
          <cell r="B52" t="str">
            <v>      Other</v>
          </cell>
        </row>
        <row r="54">
          <cell r="A54" t="str">
            <v>AD</v>
          </cell>
          <cell r="B54" t="str">
            <v>Transport</v>
          </cell>
        </row>
        <row r="55">
          <cell r="B55" t="str">
            <v>  - of which</v>
          </cell>
        </row>
        <row r="56">
          <cell r="A56" t="str">
            <v>AD1</v>
          </cell>
          <cell r="B56" t="str">
            <v>      Airlines</v>
          </cell>
        </row>
        <row r="57">
          <cell r="A57" t="str">
            <v>AD2</v>
          </cell>
          <cell r="B57" t="str">
            <v>      Buses, Lorries, Trucks &amp; Cars</v>
          </cell>
        </row>
        <row r="58">
          <cell r="A58" t="str">
            <v>AD3</v>
          </cell>
          <cell r="B58" t="str">
            <v>      Shipping &amp; Freight Forwarders</v>
          </cell>
        </row>
        <row r="59">
          <cell r="A59" t="str">
            <v>AD4</v>
          </cell>
          <cell r="B59" t="str">
            <v>      Other</v>
          </cell>
        </row>
        <row r="61">
          <cell r="A61" t="str">
            <v>AE</v>
          </cell>
          <cell r="B61" t="str">
            <v>Construction</v>
          </cell>
        </row>
        <row r="62">
          <cell r="B62" t="str">
            <v>  - of which</v>
          </cell>
        </row>
        <row r="63">
          <cell r="A63" t="str">
            <v>AE1</v>
          </cell>
          <cell r="B63" t="str">
            <v>      Building &amp; Housing Contractors</v>
          </cell>
        </row>
        <row r="64">
          <cell r="A64" t="str">
            <v>AE2</v>
          </cell>
          <cell r="B64" t="str">
            <v>      Property Development - Commercial</v>
          </cell>
        </row>
        <row r="65">
          <cell r="A65" t="str">
            <v>AE3</v>
          </cell>
          <cell r="B65" t="str">
            <v>      Property Development - Residential</v>
          </cell>
        </row>
        <row r="66">
          <cell r="A66" t="str">
            <v>AE4</v>
          </cell>
          <cell r="B66" t="str">
            <v>      Property Development - Land Parcelling</v>
          </cell>
        </row>
        <row r="67">
          <cell r="A67" t="str">
            <v>AE5</v>
          </cell>
          <cell r="B67" t="str">
            <v>      Housing</v>
          </cell>
        </row>
        <row r="68">
          <cell r="A68" t="str">
            <v>AE6</v>
          </cell>
          <cell r="B68" t="str">
            <v>      Housing - Staff</v>
          </cell>
        </row>
        <row r="69">
          <cell r="A69" t="str">
            <v>AE7</v>
          </cell>
          <cell r="B69" t="str">
            <v>      Housing Development Certificate Holders</v>
          </cell>
        </row>
        <row r="70">
          <cell r="A70" t="str">
            <v>AE8</v>
          </cell>
          <cell r="B70" t="str">
            <v>      Industrial Building Enterprise Certificate Holders</v>
          </cell>
        </row>
        <row r="71">
          <cell r="A71" t="str">
            <v>AE9</v>
          </cell>
          <cell r="B71" t="str">
            <v>      Building Supplies &amp; Materials</v>
          </cell>
        </row>
        <row r="72">
          <cell r="A72" t="str">
            <v>AE10</v>
          </cell>
          <cell r="B72" t="str">
            <v>      Stone Crushing and Concrete Products</v>
          </cell>
        </row>
        <row r="73">
          <cell r="A73" t="str">
            <v>AE11</v>
          </cell>
          <cell r="B73" t="str">
            <v>      Other</v>
          </cell>
        </row>
        <row r="75">
          <cell r="A75" t="str">
            <v>AF</v>
          </cell>
          <cell r="B75" t="str">
            <v>Traders</v>
          </cell>
        </row>
        <row r="76">
          <cell r="B76" t="str">
            <v>  - of which</v>
          </cell>
        </row>
        <row r="77">
          <cell r="A77" t="str">
            <v>AF1</v>
          </cell>
          <cell r="B77" t="str">
            <v>      Marketing Companies</v>
          </cell>
        </row>
        <row r="78">
          <cell r="A78" t="str">
            <v>AF2</v>
          </cell>
          <cell r="B78" t="str">
            <v>      Wholesalers</v>
          </cell>
        </row>
        <row r="79">
          <cell r="A79" t="str">
            <v>AF3</v>
          </cell>
          <cell r="B79" t="str">
            <v>      Retailers - Hypermarkets</v>
          </cell>
        </row>
        <row r="80">
          <cell r="A80" t="str">
            <v>AF4</v>
          </cell>
          <cell r="B80" t="str">
            <v>      Retailers - Supermarkets</v>
          </cell>
        </row>
        <row r="81">
          <cell r="A81" t="str">
            <v>AF5</v>
          </cell>
          <cell r="B81" t="str">
            <v>      Retailers - Shops &amp; Snacks</v>
          </cell>
        </row>
        <row r="82">
          <cell r="A82" t="str">
            <v>AF6</v>
          </cell>
          <cell r="B82" t="str">
            <v>      Retailers - Pharmaceuticals &amp; Chemists</v>
          </cell>
        </row>
        <row r="83">
          <cell r="A83" t="str">
            <v>AF7</v>
          </cell>
          <cell r="B83" t="str">
            <v>      Retailers - Other</v>
          </cell>
        </row>
        <row r="84">
          <cell r="A84" t="str">
            <v>AF8</v>
          </cell>
          <cell r="B84" t="str">
            <v>      Automobile Dealers &amp; Garages</v>
          </cell>
        </row>
        <row r="85">
          <cell r="A85" t="str">
            <v>AF9</v>
          </cell>
          <cell r="B85" t="str">
            <v>      Petroleum and Energy Products</v>
          </cell>
        </row>
        <row r="86">
          <cell r="A86" t="str">
            <v>AF10</v>
          </cell>
          <cell r="B86" t="str">
            <v>      Tyre Dealers and Suppliers</v>
          </cell>
        </row>
        <row r="87">
          <cell r="A87" t="str">
            <v>AF11</v>
          </cell>
          <cell r="B87" t="str">
            <v>      Other</v>
          </cell>
        </row>
        <row r="89">
          <cell r="A89" t="str">
            <v>AG</v>
          </cell>
          <cell r="B89" t="str">
            <v>Information Communication and Technology</v>
          </cell>
        </row>
        <row r="90">
          <cell r="B90" t="str">
            <v>  - of which</v>
          </cell>
        </row>
        <row r="91">
          <cell r="A91" t="str">
            <v>AG1</v>
          </cell>
          <cell r="B91" t="str">
            <v>      Telecommunications</v>
          </cell>
        </row>
        <row r="92">
          <cell r="A92" t="str">
            <v>AG2</v>
          </cell>
          <cell r="B92" t="str">
            <v>      Internet</v>
          </cell>
        </row>
        <row r="93">
          <cell r="A93" t="str">
            <v>AG3</v>
          </cell>
          <cell r="B93" t="str">
            <v>      E-Commerce</v>
          </cell>
        </row>
        <row r="94">
          <cell r="A94" t="str">
            <v>AG4</v>
          </cell>
          <cell r="B94" t="str">
            <v>      Information Technology - Hardware</v>
          </cell>
        </row>
        <row r="95">
          <cell r="A95" t="str">
            <v>AG5</v>
          </cell>
          <cell r="B95" t="str">
            <v>      Information Technology - Software</v>
          </cell>
        </row>
        <row r="96">
          <cell r="A96" t="str">
            <v>AG6</v>
          </cell>
          <cell r="B96" t="str">
            <v>      Personal Computers</v>
          </cell>
        </row>
        <row r="97">
          <cell r="A97" t="str">
            <v>AG7</v>
          </cell>
          <cell r="B97" t="str">
            <v>      Other</v>
          </cell>
        </row>
        <row r="99">
          <cell r="A99" t="str">
            <v>AH</v>
          </cell>
          <cell r="B99" t="str">
            <v>Financial and Business Services</v>
          </cell>
        </row>
        <row r="100">
          <cell r="B100" t="str">
            <v>  - of which</v>
          </cell>
        </row>
        <row r="101">
          <cell r="A101" t="str">
            <v>AH1</v>
          </cell>
          <cell r="B101" t="str">
            <v>      Stockbrokers &amp; Stockbroking Companies</v>
          </cell>
        </row>
        <row r="102">
          <cell r="A102" t="str">
            <v>AH2</v>
          </cell>
          <cell r="B102" t="str">
            <v>      Insurance Companies</v>
          </cell>
        </row>
        <row r="103">
          <cell r="A103" t="str">
            <v>AH3</v>
          </cell>
          <cell r="B103" t="str">
            <v>      Nonbank Deposit-Taking Institutions</v>
          </cell>
        </row>
        <row r="104">
          <cell r="A104" t="str">
            <v>AH4</v>
          </cell>
          <cell r="B104" t="str">
            <v>      Mutual Funds</v>
          </cell>
        </row>
        <row r="105">
          <cell r="A105" t="str">
            <v>AH5</v>
          </cell>
          <cell r="B105" t="str">
            <v>      Accounting &amp; Consultancy Services</v>
          </cell>
        </row>
        <row r="106">
          <cell r="A106" t="str">
            <v>AH6</v>
          </cell>
          <cell r="B106" t="str">
            <v>      Investment Companies</v>
          </cell>
        </row>
        <row r="107">
          <cell r="A107" t="str">
            <v>AH7</v>
          </cell>
          <cell r="B107" t="str">
            <v>      Public Fnancial Corporations</v>
          </cell>
        </row>
        <row r="108">
          <cell r="A108" t="str">
            <v>AH8</v>
          </cell>
          <cell r="B108" t="str">
            <v>      Other</v>
          </cell>
        </row>
        <row r="110">
          <cell r="A110" t="str">
            <v>AI</v>
          </cell>
          <cell r="B110" t="str">
            <v>Infrastructure</v>
          </cell>
        </row>
        <row r="111">
          <cell r="B111" t="str">
            <v>  - of which</v>
          </cell>
        </row>
        <row r="112">
          <cell r="A112" t="str">
            <v>AI1</v>
          </cell>
          <cell r="B112" t="str">
            <v>      Airport Development</v>
          </cell>
        </row>
        <row r="113">
          <cell r="A113" t="str">
            <v>AI2</v>
          </cell>
          <cell r="B113" t="str">
            <v>      Port Development</v>
          </cell>
        </row>
        <row r="114">
          <cell r="A114" t="str">
            <v>AI3</v>
          </cell>
          <cell r="B114" t="str">
            <v>      Power Generation</v>
          </cell>
        </row>
        <row r="115">
          <cell r="A115" t="str">
            <v>AI4</v>
          </cell>
          <cell r="B115" t="str">
            <v>      Water Development</v>
          </cell>
        </row>
        <row r="116">
          <cell r="A116" t="str">
            <v>AI5</v>
          </cell>
          <cell r="B116" t="str">
            <v>      Road Development</v>
          </cell>
        </row>
        <row r="117">
          <cell r="A117" t="str">
            <v>AI6</v>
          </cell>
          <cell r="B117" t="str">
            <v>      Other</v>
          </cell>
        </row>
        <row r="119">
          <cell r="A119" t="str">
            <v>AJ</v>
          </cell>
          <cell r="B119" t="str">
            <v>Global Business Licence Holders</v>
          </cell>
        </row>
        <row r="120">
          <cell r="B120" t="str">
            <v>  - of which</v>
          </cell>
        </row>
        <row r="121">
          <cell r="A121" t="str">
            <v>AJ1</v>
          </cell>
          <cell r="B121" t="str">
            <v>      Category 1 </v>
          </cell>
        </row>
        <row r="122">
          <cell r="A122" t="str">
            <v>AJ2</v>
          </cell>
          <cell r="B122" t="str">
            <v>      Category 2</v>
          </cell>
        </row>
        <row r="123">
          <cell r="A123" t="str">
            <v>AJ3</v>
          </cell>
          <cell r="B123" t="str">
            <v>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 of which</v>
          </cell>
        </row>
        <row r="141">
          <cell r="A141" t="str">
            <v>AR1</v>
          </cell>
          <cell r="B141" t="str">
            <v>      Credit Card Advances</v>
          </cell>
        </row>
        <row r="143">
          <cell r="A143" t="str">
            <v>AS</v>
          </cell>
          <cell r="B143" t="str">
            <v>Professional</v>
          </cell>
        </row>
        <row r="144">
          <cell r="B144" t="str">
            <v>  - of which</v>
          </cell>
        </row>
        <row r="145">
          <cell r="A145" t="str">
            <v>AS1</v>
          </cell>
          <cell r="B145" t="str">
            <v>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Other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1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88"/>
  <sheetViews>
    <sheetView tabSelected="1" zoomScale="130" zoomScaleNormal="130" zoomScalePageLayoutView="0" workbookViewId="0" topLeftCell="A1">
      <pane xSplit="1" ySplit="4" topLeftCell="AV5" activePane="bottomRight" state="frozen"/>
      <selection pane="topLeft" activeCell="A1" sqref="A1"/>
      <selection pane="topRight" activeCell="B1" sqref="B1"/>
      <selection pane="bottomLeft" activeCell="A5" sqref="A5"/>
      <selection pane="bottomRight" activeCell="A1" sqref="A1:BC1"/>
    </sheetView>
  </sheetViews>
  <sheetFormatPr defaultColWidth="12.421875" defaultRowHeight="12.75"/>
  <cols>
    <col min="1" max="1" width="33.421875" style="10" customWidth="1"/>
    <col min="2" max="3" width="10.8515625" style="10" hidden="1" customWidth="1"/>
    <col min="4" max="4" width="11.57421875" style="10" hidden="1" customWidth="1"/>
    <col min="5" max="5" width="11.00390625" style="10" hidden="1" customWidth="1"/>
    <col min="6" max="6" width="10.8515625" style="10" hidden="1" customWidth="1"/>
    <col min="7" max="7" width="10.57421875" style="10" hidden="1" customWidth="1"/>
    <col min="8" max="8" width="12.140625" style="10" hidden="1" customWidth="1"/>
    <col min="9" max="10" width="10.8515625" style="10" hidden="1" customWidth="1"/>
    <col min="11" max="11" width="11.421875" style="24" hidden="1" customWidth="1"/>
    <col min="12" max="12" width="11.421875" style="10" hidden="1" customWidth="1"/>
    <col min="13" max="13" width="11.57421875" style="10" hidden="1" customWidth="1"/>
    <col min="14" max="14" width="11.00390625" style="10" hidden="1" customWidth="1"/>
    <col min="15" max="15" width="11.57421875" style="10" hidden="1" customWidth="1"/>
    <col min="16" max="16" width="11.7109375" style="10" hidden="1" customWidth="1"/>
    <col min="17" max="19" width="10.8515625" style="10" hidden="1" customWidth="1"/>
    <col min="20" max="20" width="11.7109375" style="10" hidden="1" customWidth="1"/>
    <col min="21" max="21" width="11.28125" style="10" hidden="1" customWidth="1"/>
    <col min="22" max="22" width="11.421875" style="10" hidden="1" customWidth="1"/>
    <col min="23" max="23" width="11.28125" style="10" hidden="1" customWidth="1"/>
    <col min="24" max="24" width="11.421875" style="10" hidden="1" customWidth="1"/>
    <col min="25" max="25" width="11.7109375" style="10" hidden="1" customWidth="1"/>
    <col min="26" max="26" width="11.140625" style="10" hidden="1" customWidth="1"/>
    <col min="27" max="27" width="11.00390625" style="10" hidden="1" customWidth="1"/>
    <col min="28" max="28" width="11.57421875" style="10" hidden="1" customWidth="1"/>
    <col min="29" max="29" width="12.00390625" style="10" hidden="1" customWidth="1"/>
    <col min="30" max="31" width="11.28125" style="10" hidden="1" customWidth="1"/>
    <col min="32" max="32" width="12.140625" style="10" hidden="1" customWidth="1"/>
    <col min="33" max="33" width="11.8515625" style="10" hidden="1" customWidth="1"/>
    <col min="34" max="46" width="12.421875" style="10" hidden="1" customWidth="1"/>
    <col min="47" max="47" width="0" style="10" hidden="1" customWidth="1"/>
    <col min="48" max="16384" width="12.421875" style="10" customWidth="1"/>
  </cols>
  <sheetData>
    <row r="1" spans="1:55" ht="20.25" customHeight="1">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row>
    <row r="2" spans="1:55" ht="14.25">
      <c r="A2" s="33"/>
      <c r="B2" s="9"/>
      <c r="C2" s="9"/>
      <c r="D2" s="9"/>
      <c r="E2" s="9"/>
      <c r="F2" s="9"/>
      <c r="G2" s="9"/>
      <c r="H2" s="9"/>
      <c r="I2" s="9"/>
      <c r="J2" s="9"/>
      <c r="K2" s="9"/>
      <c r="L2" s="9"/>
      <c r="P2" s="9"/>
      <c r="Q2" s="9"/>
      <c r="R2" s="9"/>
      <c r="S2" s="9"/>
      <c r="T2" s="9"/>
      <c r="V2" s="9"/>
      <c r="W2" s="9"/>
      <c r="X2" s="9"/>
      <c r="Z2" s="9"/>
      <c r="AA2" s="9"/>
      <c r="AC2" s="9"/>
      <c r="AI2" s="9"/>
      <c r="AM2" s="9"/>
      <c r="AN2" s="9"/>
      <c r="AQ2" s="9"/>
      <c r="AU2" s="9"/>
      <c r="AY2" s="9"/>
      <c r="BC2" s="9" t="s">
        <v>1</v>
      </c>
    </row>
    <row r="3" spans="1:55" ht="12.75">
      <c r="A3" s="25"/>
      <c r="B3" s="36">
        <v>2009</v>
      </c>
      <c r="C3" s="46">
        <v>2010</v>
      </c>
      <c r="D3" s="46"/>
      <c r="E3" s="46"/>
      <c r="F3" s="46"/>
      <c r="G3" s="44">
        <v>2011</v>
      </c>
      <c r="H3" s="44"/>
      <c r="I3" s="44"/>
      <c r="J3" s="45"/>
      <c r="K3" s="47">
        <v>2012</v>
      </c>
      <c r="L3" s="48"/>
      <c r="M3" s="48"/>
      <c r="N3" s="49"/>
      <c r="O3" s="47">
        <v>2013</v>
      </c>
      <c r="P3" s="48"/>
      <c r="Q3" s="48"/>
      <c r="R3" s="48"/>
      <c r="S3" s="40">
        <v>2014</v>
      </c>
      <c r="T3" s="41"/>
      <c r="U3" s="41"/>
      <c r="V3" s="29"/>
      <c r="W3" s="40">
        <v>2015</v>
      </c>
      <c r="X3" s="41"/>
      <c r="Y3" s="41"/>
      <c r="Z3" s="42"/>
      <c r="AA3" s="50">
        <v>2016</v>
      </c>
      <c r="AB3" s="50"/>
      <c r="AC3" s="50"/>
      <c r="AD3" s="50"/>
      <c r="AE3" s="40">
        <v>2017</v>
      </c>
      <c r="AF3" s="41"/>
      <c r="AG3" s="41"/>
      <c r="AH3" s="42"/>
      <c r="AI3" s="40">
        <v>2018</v>
      </c>
      <c r="AJ3" s="41"/>
      <c r="AK3" s="41"/>
      <c r="AL3" s="42"/>
      <c r="AM3" s="40">
        <v>2019</v>
      </c>
      <c r="AN3" s="41"/>
      <c r="AO3" s="41"/>
      <c r="AP3" s="42"/>
      <c r="AQ3" s="40">
        <v>2020</v>
      </c>
      <c r="AR3" s="41"/>
      <c r="AS3" s="41"/>
      <c r="AT3" s="42"/>
      <c r="AU3" s="40">
        <v>2021</v>
      </c>
      <c r="AV3" s="41"/>
      <c r="AW3" s="41"/>
      <c r="AX3" s="42"/>
      <c r="AY3" s="40">
        <v>2022</v>
      </c>
      <c r="AZ3" s="41"/>
      <c r="BA3" s="41"/>
      <c r="BB3" s="42"/>
      <c r="BC3" s="37">
        <v>2023</v>
      </c>
    </row>
    <row r="4" spans="1:55" ht="15.75">
      <c r="A4" s="25"/>
      <c r="B4" s="11" t="s">
        <v>38</v>
      </c>
      <c r="C4" s="11" t="s">
        <v>35</v>
      </c>
      <c r="D4" s="11" t="s">
        <v>36</v>
      </c>
      <c r="E4" s="11" t="s">
        <v>37</v>
      </c>
      <c r="F4" s="11" t="s">
        <v>38</v>
      </c>
      <c r="G4" s="11" t="s">
        <v>35</v>
      </c>
      <c r="H4" s="11" t="s">
        <v>39</v>
      </c>
      <c r="I4" s="11" t="s">
        <v>37</v>
      </c>
      <c r="J4" s="11" t="s">
        <v>38</v>
      </c>
      <c r="K4" s="11" t="s">
        <v>35</v>
      </c>
      <c r="L4" s="11" t="s">
        <v>39</v>
      </c>
      <c r="M4" s="11" t="s">
        <v>42</v>
      </c>
      <c r="N4" s="11" t="s">
        <v>43</v>
      </c>
      <c r="O4" s="12" t="s">
        <v>44</v>
      </c>
      <c r="P4" s="12" t="s">
        <v>45</v>
      </c>
      <c r="Q4" s="12" t="s">
        <v>42</v>
      </c>
      <c r="R4" s="11" t="s">
        <v>43</v>
      </c>
      <c r="S4" s="12" t="s">
        <v>44</v>
      </c>
      <c r="T4" s="12" t="s">
        <v>45</v>
      </c>
      <c r="U4" s="12" t="s">
        <v>42</v>
      </c>
      <c r="V4" s="12" t="s">
        <v>43</v>
      </c>
      <c r="W4" s="12" t="s">
        <v>44</v>
      </c>
      <c r="X4" s="12" t="s">
        <v>45</v>
      </c>
      <c r="Y4" s="12" t="s">
        <v>42</v>
      </c>
      <c r="Z4" s="12" t="s">
        <v>43</v>
      </c>
      <c r="AA4" s="12" t="s">
        <v>44</v>
      </c>
      <c r="AB4" s="12" t="s">
        <v>45</v>
      </c>
      <c r="AC4" s="12" t="s">
        <v>42</v>
      </c>
      <c r="AD4" s="12" t="s">
        <v>43</v>
      </c>
      <c r="AE4" s="12" t="s">
        <v>44</v>
      </c>
      <c r="AF4" s="12" t="s">
        <v>45</v>
      </c>
      <c r="AG4" s="12" t="s">
        <v>42</v>
      </c>
      <c r="AH4" s="12" t="s">
        <v>43</v>
      </c>
      <c r="AI4" s="11" t="s">
        <v>44</v>
      </c>
      <c r="AJ4" s="11" t="s">
        <v>45</v>
      </c>
      <c r="AK4" s="11" t="s">
        <v>42</v>
      </c>
      <c r="AL4" s="11" t="s">
        <v>43</v>
      </c>
      <c r="AM4" s="11" t="s">
        <v>44</v>
      </c>
      <c r="AN4" s="11" t="s">
        <v>45</v>
      </c>
      <c r="AO4" s="11" t="s">
        <v>42</v>
      </c>
      <c r="AP4" s="11" t="s">
        <v>50</v>
      </c>
      <c r="AQ4" s="11" t="s">
        <v>44</v>
      </c>
      <c r="AR4" s="11" t="s">
        <v>45</v>
      </c>
      <c r="AS4" s="11" t="s">
        <v>42</v>
      </c>
      <c r="AT4" s="11" t="s">
        <v>43</v>
      </c>
      <c r="AU4" s="11" t="s">
        <v>44</v>
      </c>
      <c r="AV4" s="11" t="s">
        <v>45</v>
      </c>
      <c r="AW4" s="11" t="s">
        <v>42</v>
      </c>
      <c r="AX4" s="11" t="s">
        <v>43</v>
      </c>
      <c r="AY4" s="11" t="s">
        <v>44</v>
      </c>
      <c r="AZ4" s="11" t="s">
        <v>45</v>
      </c>
      <c r="BA4" s="11" t="s">
        <v>42</v>
      </c>
      <c r="BB4" s="11" t="s">
        <v>43</v>
      </c>
      <c r="BC4" s="11" t="s">
        <v>59</v>
      </c>
    </row>
    <row r="5" spans="1:55" s="3" customFormat="1" ht="12.75">
      <c r="A5" s="13" t="s">
        <v>56</v>
      </c>
      <c r="B5" s="13">
        <f aca="true" t="shared" si="0" ref="B5:O5">B6+B12</f>
        <v>21887</v>
      </c>
      <c r="C5" s="13">
        <f t="shared" si="0"/>
        <v>21227.399999999998</v>
      </c>
      <c r="D5" s="13">
        <f t="shared" si="0"/>
        <v>21628.1</v>
      </c>
      <c r="E5" s="13">
        <f t="shared" si="0"/>
        <v>24558.7</v>
      </c>
      <c r="F5" s="13">
        <f t="shared" si="0"/>
        <v>27016.100000000002</v>
      </c>
      <c r="G5" s="13">
        <f t="shared" si="0"/>
        <v>29554.4</v>
      </c>
      <c r="H5" s="13">
        <f t="shared" si="0"/>
        <v>29963.3</v>
      </c>
      <c r="I5" s="13">
        <f t="shared" si="0"/>
        <v>31138.5</v>
      </c>
      <c r="J5" s="13">
        <f t="shared" si="0"/>
        <v>31541.399999999998</v>
      </c>
      <c r="K5" s="13">
        <f t="shared" si="0"/>
        <v>31495</v>
      </c>
      <c r="L5" s="13">
        <f t="shared" si="0"/>
        <v>34468.399999999994</v>
      </c>
      <c r="M5" s="13">
        <f t="shared" si="0"/>
        <v>35470.9</v>
      </c>
      <c r="N5" s="13">
        <f t="shared" si="0"/>
        <v>36127.1</v>
      </c>
      <c r="O5" s="13">
        <f t="shared" si="0"/>
        <v>37540</v>
      </c>
      <c r="P5" s="13">
        <f aca="true" t="shared" si="1" ref="P5:Z5">P6+P12</f>
        <v>42700.5</v>
      </c>
      <c r="Q5" s="13">
        <f t="shared" si="1"/>
        <v>45803.8</v>
      </c>
      <c r="R5" s="27">
        <f t="shared" si="1"/>
        <v>47322.50000000001</v>
      </c>
      <c r="S5" s="27">
        <f t="shared" si="1"/>
        <v>48923.8</v>
      </c>
      <c r="T5" s="27">
        <f t="shared" si="1"/>
        <v>51604.600000000006</v>
      </c>
      <c r="U5" s="27">
        <f t="shared" si="1"/>
        <v>51450.40000000001</v>
      </c>
      <c r="V5" s="27">
        <f t="shared" si="1"/>
        <v>51566.1</v>
      </c>
      <c r="W5" s="27">
        <f t="shared" si="1"/>
        <v>56153.1</v>
      </c>
      <c r="X5" s="27">
        <f t="shared" si="1"/>
        <v>54847</v>
      </c>
      <c r="Y5" s="27">
        <f t="shared" si="1"/>
        <v>54690</v>
      </c>
      <c r="Z5" s="27">
        <f t="shared" si="1"/>
        <v>54802</v>
      </c>
      <c r="AA5" s="27">
        <f aca="true" t="shared" si="2" ref="AA5:AG5">AA6+AA12</f>
        <v>54150</v>
      </c>
      <c r="AB5" s="27">
        <f t="shared" si="2"/>
        <v>53579</v>
      </c>
      <c r="AC5" s="27">
        <f t="shared" si="2"/>
        <v>53219</v>
      </c>
      <c r="AD5" s="27">
        <f t="shared" si="2"/>
        <v>51739</v>
      </c>
      <c r="AE5" s="27">
        <f t="shared" si="2"/>
        <v>46204</v>
      </c>
      <c r="AF5" s="27">
        <f t="shared" si="2"/>
        <v>46321</v>
      </c>
      <c r="AG5" s="27">
        <f t="shared" si="2"/>
        <v>45105.2</v>
      </c>
      <c r="AH5" s="27">
        <f aca="true" t="shared" si="3" ref="AH5:AN5">AH6+AH12</f>
        <v>45206</v>
      </c>
      <c r="AI5" s="27">
        <f t="shared" si="3"/>
        <v>44623</v>
      </c>
      <c r="AJ5" s="27">
        <f t="shared" si="3"/>
        <v>44606</v>
      </c>
      <c r="AK5" s="27">
        <f t="shared" si="3"/>
        <v>42145</v>
      </c>
      <c r="AL5" s="27">
        <f t="shared" si="3"/>
        <v>41481</v>
      </c>
      <c r="AM5" s="27">
        <f t="shared" si="3"/>
        <v>40311.6</v>
      </c>
      <c r="AN5" s="27">
        <f t="shared" si="3"/>
        <v>40303.5</v>
      </c>
      <c r="AO5" s="27">
        <f aca="true" t="shared" si="4" ref="AO5:AU5">AO6+AO12</f>
        <v>39249</v>
      </c>
      <c r="AP5" s="27">
        <f t="shared" si="4"/>
        <v>39639.25</v>
      </c>
      <c r="AQ5" s="27">
        <f t="shared" si="4"/>
        <v>33658.700000000004</v>
      </c>
      <c r="AR5" s="27">
        <f t="shared" si="4"/>
        <v>43714.2</v>
      </c>
      <c r="AS5" s="27">
        <f t="shared" si="4"/>
        <v>58981.95</v>
      </c>
      <c r="AT5" s="27">
        <f t="shared" si="4"/>
        <v>59812.6</v>
      </c>
      <c r="AU5" s="27">
        <f t="shared" si="4"/>
        <v>70105.6</v>
      </c>
      <c r="AV5" s="27">
        <f aca="true" t="shared" si="5" ref="AV5:BA5">AV6+AV12</f>
        <v>71940.29999999999</v>
      </c>
      <c r="AW5" s="27">
        <f t="shared" si="5"/>
        <v>77635.54999999999</v>
      </c>
      <c r="AX5" s="27">
        <f t="shared" si="5"/>
        <v>77013.95</v>
      </c>
      <c r="AY5" s="27">
        <f t="shared" si="5"/>
        <v>76262.84999999999</v>
      </c>
      <c r="AZ5" s="27">
        <f t="shared" si="5"/>
        <v>73172.85</v>
      </c>
      <c r="BA5" s="27">
        <f t="shared" si="5"/>
        <v>67395.3</v>
      </c>
      <c r="BB5" s="27">
        <f>BB6+BB12</f>
        <v>81788.45</v>
      </c>
      <c r="BC5" s="27">
        <f>BC6+BC12</f>
        <v>85633</v>
      </c>
    </row>
    <row r="6" spans="1:55" s="3" customFormat="1" ht="12.75">
      <c r="A6" s="1" t="s">
        <v>2</v>
      </c>
      <c r="B6" s="6">
        <f aca="true" t="shared" si="6" ref="B6:O6">SUM(B7:B10)</f>
        <v>236.7</v>
      </c>
      <c r="C6" s="6">
        <f t="shared" si="6"/>
        <v>29.3</v>
      </c>
      <c r="D6" s="6">
        <f t="shared" si="6"/>
        <v>29.3</v>
      </c>
      <c r="E6" s="6">
        <f t="shared" si="6"/>
        <v>51</v>
      </c>
      <c r="F6" s="6">
        <f t="shared" si="6"/>
        <v>106.2</v>
      </c>
      <c r="G6" s="6">
        <f t="shared" si="6"/>
        <v>81.7</v>
      </c>
      <c r="H6" s="6">
        <f t="shared" si="6"/>
        <v>15</v>
      </c>
      <c r="I6" s="6">
        <f t="shared" si="6"/>
        <v>65</v>
      </c>
      <c r="J6" s="6">
        <f t="shared" si="6"/>
        <v>272.6</v>
      </c>
      <c r="K6" s="6">
        <f t="shared" si="6"/>
        <v>330.6</v>
      </c>
      <c r="L6" s="6">
        <f t="shared" si="6"/>
        <v>819.7</v>
      </c>
      <c r="M6" s="6">
        <f t="shared" si="6"/>
        <v>387</v>
      </c>
      <c r="N6" s="6">
        <f t="shared" si="6"/>
        <v>216</v>
      </c>
      <c r="O6" s="6">
        <f t="shared" si="6"/>
        <v>36.3</v>
      </c>
      <c r="P6" s="6">
        <f aca="true" t="shared" si="7" ref="P6:Z6">SUM(P7:P10)</f>
        <v>131.7</v>
      </c>
      <c r="Q6" s="6">
        <f t="shared" si="7"/>
        <v>183.9</v>
      </c>
      <c r="R6" s="6">
        <f t="shared" si="7"/>
        <v>400.4</v>
      </c>
      <c r="S6" s="6">
        <f t="shared" si="7"/>
        <v>437.9</v>
      </c>
      <c r="T6" s="6">
        <f t="shared" si="7"/>
        <v>391.5</v>
      </c>
      <c r="U6" s="6">
        <f t="shared" si="7"/>
        <v>329.3</v>
      </c>
      <c r="V6" s="6">
        <f t="shared" si="7"/>
        <v>207.1</v>
      </c>
      <c r="W6" s="6">
        <f t="shared" si="7"/>
        <v>53.1</v>
      </c>
      <c r="X6" s="6">
        <f t="shared" si="7"/>
        <v>16</v>
      </c>
      <c r="Y6" s="6">
        <f t="shared" si="7"/>
        <v>20</v>
      </c>
      <c r="Z6" s="6">
        <f t="shared" si="7"/>
        <v>131</v>
      </c>
      <c r="AA6" s="6">
        <f aca="true" t="shared" si="8" ref="AA6:AG6">SUM(AA7:AA10)</f>
        <v>131</v>
      </c>
      <c r="AB6" s="6">
        <f t="shared" si="8"/>
        <v>128</v>
      </c>
      <c r="AC6" s="6">
        <f t="shared" si="8"/>
        <v>135</v>
      </c>
      <c r="AD6" s="6">
        <f t="shared" si="8"/>
        <v>32</v>
      </c>
      <c r="AE6" s="6">
        <f t="shared" si="8"/>
        <v>39</v>
      </c>
      <c r="AF6" s="6">
        <f t="shared" si="8"/>
        <v>39</v>
      </c>
      <c r="AG6" s="6">
        <f t="shared" si="8"/>
        <v>36</v>
      </c>
      <c r="AH6" s="6">
        <f aca="true" t="shared" si="9" ref="AH6:AN6">SUM(AH7:AH10)</f>
        <v>28</v>
      </c>
      <c r="AI6" s="6">
        <f t="shared" si="9"/>
        <v>29</v>
      </c>
      <c r="AJ6" s="6">
        <f t="shared" si="9"/>
        <v>14</v>
      </c>
      <c r="AK6" s="6">
        <f t="shared" si="9"/>
        <v>12</v>
      </c>
      <c r="AL6" s="6">
        <f t="shared" si="9"/>
        <v>17</v>
      </c>
      <c r="AM6" s="6">
        <f t="shared" si="9"/>
        <v>12</v>
      </c>
      <c r="AN6" s="6">
        <f t="shared" si="9"/>
        <v>10.3</v>
      </c>
      <c r="AO6" s="6">
        <f aca="true" t="shared" si="10" ref="AO6:AU6">SUM(AO7:AO10)</f>
        <v>13.4</v>
      </c>
      <c r="AP6" s="6">
        <f t="shared" si="10"/>
        <v>36</v>
      </c>
      <c r="AQ6" s="6">
        <f t="shared" si="10"/>
        <v>20.65</v>
      </c>
      <c r="AR6" s="6">
        <f t="shared" si="10"/>
        <v>33.95</v>
      </c>
      <c r="AS6" s="6">
        <f t="shared" si="10"/>
        <v>31.95</v>
      </c>
      <c r="AT6" s="6">
        <f t="shared" si="10"/>
        <v>24.6</v>
      </c>
      <c r="AU6" s="6">
        <f t="shared" si="10"/>
        <v>24.6</v>
      </c>
      <c r="AV6" s="6">
        <f aca="true" t="shared" si="11" ref="AV6:BA6">SUM(AV7:AV10)</f>
        <v>21.7</v>
      </c>
      <c r="AW6" s="6">
        <f t="shared" si="11"/>
        <v>21.65</v>
      </c>
      <c r="AX6" s="6">
        <f t="shared" si="11"/>
        <v>31.45</v>
      </c>
      <c r="AY6" s="6">
        <f t="shared" si="11"/>
        <v>27.45</v>
      </c>
      <c r="AZ6" s="6">
        <f t="shared" si="11"/>
        <v>43.35</v>
      </c>
      <c r="BA6" s="6">
        <f t="shared" si="11"/>
        <v>44.6</v>
      </c>
      <c r="BB6" s="6">
        <f>SUM(BB7:BB10)</f>
        <v>38.45</v>
      </c>
      <c r="BC6" s="6">
        <f>SUM(BC7:BC10)</f>
        <v>61</v>
      </c>
    </row>
    <row r="7" spans="1:55" s="3" customFormat="1" ht="12.75">
      <c r="A7" s="4" t="s">
        <v>3</v>
      </c>
      <c r="B7" s="5">
        <v>236.7</v>
      </c>
      <c r="C7" s="5">
        <v>29.3</v>
      </c>
      <c r="D7" s="5">
        <v>29.3</v>
      </c>
      <c r="E7" s="5">
        <v>51</v>
      </c>
      <c r="F7" s="5">
        <v>106.2</v>
      </c>
      <c r="G7" s="5">
        <v>81.7</v>
      </c>
      <c r="H7" s="5">
        <v>15</v>
      </c>
      <c r="I7" s="5">
        <v>65</v>
      </c>
      <c r="J7" s="5">
        <v>272.6</v>
      </c>
      <c r="K7" s="5">
        <v>330.6</v>
      </c>
      <c r="L7" s="14">
        <v>819.7</v>
      </c>
      <c r="M7" s="15">
        <v>387</v>
      </c>
      <c r="N7" s="15">
        <v>216</v>
      </c>
      <c r="O7" s="5">
        <v>36.3</v>
      </c>
      <c r="P7" s="5">
        <v>131.7</v>
      </c>
      <c r="Q7" s="5">
        <v>183.9</v>
      </c>
      <c r="R7" s="5">
        <v>400.4</v>
      </c>
      <c r="S7" s="5">
        <v>437.9</v>
      </c>
      <c r="T7" s="5">
        <v>391.5</v>
      </c>
      <c r="U7" s="5">
        <v>329.3</v>
      </c>
      <c r="V7" s="5">
        <v>207.1</v>
      </c>
      <c r="W7" s="5">
        <v>53.1</v>
      </c>
      <c r="X7" s="5">
        <v>16</v>
      </c>
      <c r="Y7" s="5">
        <v>20</v>
      </c>
      <c r="Z7" s="5">
        <v>131</v>
      </c>
      <c r="AA7" s="5">
        <v>131</v>
      </c>
      <c r="AB7" s="5">
        <v>128</v>
      </c>
      <c r="AC7" s="5">
        <v>135</v>
      </c>
      <c r="AD7" s="5">
        <v>32</v>
      </c>
      <c r="AE7" s="5">
        <v>39</v>
      </c>
      <c r="AF7" s="5">
        <v>39</v>
      </c>
      <c r="AG7" s="5">
        <v>36</v>
      </c>
      <c r="AH7" s="5">
        <v>28</v>
      </c>
      <c r="AI7" s="5">
        <v>29</v>
      </c>
      <c r="AJ7" s="5">
        <v>14</v>
      </c>
      <c r="AK7" s="5">
        <v>12</v>
      </c>
      <c r="AL7" s="5">
        <v>17</v>
      </c>
      <c r="AM7" s="5">
        <v>12</v>
      </c>
      <c r="AN7" s="5">
        <v>10.3</v>
      </c>
      <c r="AO7" s="5">
        <v>13.4</v>
      </c>
      <c r="AP7" s="5">
        <v>36</v>
      </c>
      <c r="AQ7" s="5">
        <v>20.65</v>
      </c>
      <c r="AR7" s="5">
        <v>33.95</v>
      </c>
      <c r="AS7" s="5">
        <v>31.95</v>
      </c>
      <c r="AT7" s="5">
        <v>24.6</v>
      </c>
      <c r="AU7" s="5">
        <v>24.6</v>
      </c>
      <c r="AV7" s="5">
        <v>21.7</v>
      </c>
      <c r="AW7" s="5">
        <v>21.65</v>
      </c>
      <c r="AX7" s="5">
        <v>31.45</v>
      </c>
      <c r="AY7" s="5">
        <v>27.45</v>
      </c>
      <c r="AZ7" s="5">
        <v>43.35</v>
      </c>
      <c r="BA7" s="5">
        <v>44.6</v>
      </c>
      <c r="BB7" s="5">
        <v>38.45</v>
      </c>
      <c r="BC7" s="5">
        <v>61</v>
      </c>
    </row>
    <row r="8" spans="1:55" s="3" customFormat="1" ht="12.75">
      <c r="A8" s="4" t="s">
        <v>4</v>
      </c>
      <c r="B8" s="5"/>
      <c r="C8" s="5"/>
      <c r="D8" s="5"/>
      <c r="E8" s="5"/>
      <c r="F8" s="5"/>
      <c r="G8" s="5"/>
      <c r="H8" s="5"/>
      <c r="I8" s="5"/>
      <c r="J8" s="5"/>
      <c r="K8" s="5"/>
      <c r="L8" s="14"/>
      <c r="M8" s="14"/>
      <c r="N8" s="1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1:55" s="3" customFormat="1" ht="12.75">
      <c r="A9" s="4" t="s">
        <v>5</v>
      </c>
      <c r="B9" s="5"/>
      <c r="C9" s="5"/>
      <c r="D9" s="5"/>
      <c r="E9" s="5"/>
      <c r="F9" s="5"/>
      <c r="G9" s="5"/>
      <c r="H9" s="5"/>
      <c r="I9" s="5"/>
      <c r="J9" s="5"/>
      <c r="K9" s="5"/>
      <c r="L9" s="14"/>
      <c r="M9" s="14"/>
      <c r="N9" s="1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s="3" customFormat="1" ht="12.75">
      <c r="A10" s="4" t="s">
        <v>6</v>
      </c>
      <c r="B10" s="5"/>
      <c r="C10" s="5"/>
      <c r="D10" s="5"/>
      <c r="E10" s="5"/>
      <c r="F10" s="5"/>
      <c r="G10" s="5"/>
      <c r="H10" s="5"/>
      <c r="I10" s="5"/>
      <c r="J10" s="5"/>
      <c r="K10" s="5"/>
      <c r="L10" s="14"/>
      <c r="M10" s="14"/>
      <c r="N10" s="1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1:55" s="3" customFormat="1" ht="12.75">
      <c r="A11" s="4"/>
      <c r="B11" s="5"/>
      <c r="C11" s="5"/>
      <c r="D11" s="5"/>
      <c r="E11" s="5"/>
      <c r="F11" s="5"/>
      <c r="G11" s="5"/>
      <c r="H11" s="5"/>
      <c r="I11" s="5"/>
      <c r="J11" s="5"/>
      <c r="K11" s="5"/>
      <c r="L11" s="14"/>
      <c r="M11" s="14"/>
      <c r="N11" s="14"/>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5" s="3" customFormat="1" ht="12.75">
      <c r="A12" s="1" t="s">
        <v>7</v>
      </c>
      <c r="B12" s="6">
        <f aca="true" t="shared" si="12" ref="B12:O12">SUM(B13:B16)</f>
        <v>21650.3</v>
      </c>
      <c r="C12" s="6">
        <f t="shared" si="12"/>
        <v>21198.1</v>
      </c>
      <c r="D12" s="6">
        <f t="shared" si="12"/>
        <v>21598.8</v>
      </c>
      <c r="E12" s="6">
        <f t="shared" si="12"/>
        <v>24507.7</v>
      </c>
      <c r="F12" s="6">
        <f t="shared" si="12"/>
        <v>26909.9</v>
      </c>
      <c r="G12" s="6">
        <f t="shared" si="12"/>
        <v>29472.7</v>
      </c>
      <c r="H12" s="6">
        <f t="shared" si="12"/>
        <v>29948.3</v>
      </c>
      <c r="I12" s="6">
        <f t="shared" si="12"/>
        <v>31073.5</v>
      </c>
      <c r="J12" s="6">
        <f t="shared" si="12"/>
        <v>31268.8</v>
      </c>
      <c r="K12" s="6">
        <f t="shared" si="12"/>
        <v>31164.4</v>
      </c>
      <c r="L12" s="6">
        <f t="shared" si="12"/>
        <v>33648.7</v>
      </c>
      <c r="M12" s="6">
        <f t="shared" si="12"/>
        <v>35083.9</v>
      </c>
      <c r="N12" s="6">
        <f t="shared" si="12"/>
        <v>35911.1</v>
      </c>
      <c r="O12" s="6">
        <f t="shared" si="12"/>
        <v>37503.7</v>
      </c>
      <c r="P12" s="6">
        <f aca="true" t="shared" si="13" ref="P12:Z12">SUM(P13:P16)</f>
        <v>42568.8</v>
      </c>
      <c r="Q12" s="6">
        <f t="shared" si="13"/>
        <v>45619.9</v>
      </c>
      <c r="R12" s="6">
        <f t="shared" si="13"/>
        <v>46922.100000000006</v>
      </c>
      <c r="S12" s="6">
        <f t="shared" si="13"/>
        <v>48485.9</v>
      </c>
      <c r="T12" s="6">
        <f t="shared" si="13"/>
        <v>51213.100000000006</v>
      </c>
      <c r="U12" s="6">
        <f t="shared" si="13"/>
        <v>51121.100000000006</v>
      </c>
      <c r="V12" s="6">
        <f t="shared" si="13"/>
        <v>51359</v>
      </c>
      <c r="W12" s="6">
        <f t="shared" si="13"/>
        <v>56100</v>
      </c>
      <c r="X12" s="6">
        <f t="shared" si="13"/>
        <v>54831</v>
      </c>
      <c r="Y12" s="6">
        <f t="shared" si="13"/>
        <v>54670</v>
      </c>
      <c r="Z12" s="6">
        <f t="shared" si="13"/>
        <v>54671</v>
      </c>
      <c r="AA12" s="6">
        <f aca="true" t="shared" si="14" ref="AA12:AG12">SUM(AA13:AA16)</f>
        <v>54019</v>
      </c>
      <c r="AB12" s="6">
        <f t="shared" si="14"/>
        <v>53451</v>
      </c>
      <c r="AC12" s="6">
        <f t="shared" si="14"/>
        <v>53084</v>
      </c>
      <c r="AD12" s="6">
        <f t="shared" si="14"/>
        <v>51707</v>
      </c>
      <c r="AE12" s="6">
        <f t="shared" si="14"/>
        <v>46165</v>
      </c>
      <c r="AF12" s="6">
        <f t="shared" si="14"/>
        <v>46282</v>
      </c>
      <c r="AG12" s="6">
        <f t="shared" si="14"/>
        <v>45069.2</v>
      </c>
      <c r="AH12" s="6">
        <f aca="true" t="shared" si="15" ref="AH12:AN12">SUM(AH13:AH16)</f>
        <v>45178</v>
      </c>
      <c r="AI12" s="6">
        <f t="shared" si="15"/>
        <v>44594</v>
      </c>
      <c r="AJ12" s="6">
        <f t="shared" si="15"/>
        <v>44592</v>
      </c>
      <c r="AK12" s="6">
        <f t="shared" si="15"/>
        <v>42133</v>
      </c>
      <c r="AL12" s="6">
        <f t="shared" si="15"/>
        <v>41464</v>
      </c>
      <c r="AM12" s="6">
        <f t="shared" si="15"/>
        <v>40299.6</v>
      </c>
      <c r="AN12" s="6">
        <f t="shared" si="15"/>
        <v>40293.2</v>
      </c>
      <c r="AO12" s="6">
        <f aca="true" t="shared" si="16" ref="AO12:AU12">SUM(AO13:AO16)</f>
        <v>39235.6</v>
      </c>
      <c r="AP12" s="6">
        <f t="shared" si="16"/>
        <v>39603.25</v>
      </c>
      <c r="AQ12" s="6">
        <f t="shared" si="16"/>
        <v>33638.05</v>
      </c>
      <c r="AR12" s="6">
        <f t="shared" si="16"/>
        <v>43680.25</v>
      </c>
      <c r="AS12" s="6">
        <f t="shared" si="16"/>
        <v>58950</v>
      </c>
      <c r="AT12" s="6">
        <f t="shared" si="16"/>
        <v>59788</v>
      </c>
      <c r="AU12" s="6">
        <f t="shared" si="16"/>
        <v>70081</v>
      </c>
      <c r="AV12" s="6">
        <f aca="true" t="shared" si="17" ref="AV12:BA12">SUM(AV13:AV16)</f>
        <v>71918.59999999999</v>
      </c>
      <c r="AW12" s="6">
        <f t="shared" si="17"/>
        <v>77613.9</v>
      </c>
      <c r="AX12" s="6">
        <f t="shared" si="17"/>
        <v>76982.5</v>
      </c>
      <c r="AY12" s="6">
        <f t="shared" si="17"/>
        <v>76235.4</v>
      </c>
      <c r="AZ12" s="6">
        <f t="shared" si="17"/>
        <v>73129.5</v>
      </c>
      <c r="BA12" s="6">
        <f t="shared" si="17"/>
        <v>67350.7</v>
      </c>
      <c r="BB12" s="6">
        <f>SUM(BB13:BB16)</f>
        <v>81750</v>
      </c>
      <c r="BC12" s="6">
        <f>SUM(BC13:BC16)</f>
        <v>85572</v>
      </c>
    </row>
    <row r="13" spans="1:55" s="3" customFormat="1" ht="12.75">
      <c r="A13" s="4" t="s">
        <v>8</v>
      </c>
      <c r="B13" s="5">
        <v>30.3</v>
      </c>
      <c r="C13" s="5">
        <v>30.3</v>
      </c>
      <c r="D13" s="5"/>
      <c r="E13" s="5"/>
      <c r="F13" s="5"/>
      <c r="G13" s="5">
        <v>6</v>
      </c>
      <c r="H13" s="5">
        <v>6</v>
      </c>
      <c r="I13" s="5">
        <v>10</v>
      </c>
      <c r="J13" s="5">
        <v>10</v>
      </c>
      <c r="K13" s="5">
        <v>13</v>
      </c>
      <c r="L13" s="15">
        <v>25</v>
      </c>
      <c r="M13" s="15">
        <v>25</v>
      </c>
      <c r="N13" s="15">
        <v>25</v>
      </c>
      <c r="O13" s="5">
        <v>25</v>
      </c>
      <c r="P13" s="5">
        <v>25.3</v>
      </c>
      <c r="Q13" s="5">
        <v>26.3</v>
      </c>
      <c r="R13" s="5">
        <v>26.3</v>
      </c>
      <c r="S13" s="5">
        <v>26.8</v>
      </c>
      <c r="T13" s="5">
        <v>26.8</v>
      </c>
      <c r="U13" s="5">
        <v>26.8</v>
      </c>
      <c r="V13" s="5">
        <v>26.8</v>
      </c>
      <c r="W13" s="5">
        <v>30.3</v>
      </c>
      <c r="X13" s="5">
        <v>30.3</v>
      </c>
      <c r="Y13" s="5">
        <v>33.8</v>
      </c>
      <c r="Z13" s="5">
        <v>53.8</v>
      </c>
      <c r="AA13" s="5">
        <v>54.8</v>
      </c>
      <c r="AB13" s="5">
        <v>59.9</v>
      </c>
      <c r="AC13" s="5">
        <v>59.9</v>
      </c>
      <c r="AD13" s="5">
        <v>59.9</v>
      </c>
      <c r="AE13" s="5">
        <v>155</v>
      </c>
      <c r="AF13" s="5">
        <v>309</v>
      </c>
      <c r="AG13" s="5">
        <v>272.2</v>
      </c>
      <c r="AH13" s="5">
        <v>253</v>
      </c>
      <c r="AI13" s="5">
        <v>257</v>
      </c>
      <c r="AJ13" s="5">
        <v>271</v>
      </c>
      <c r="AK13" s="5">
        <v>158</v>
      </c>
      <c r="AL13" s="5">
        <v>163</v>
      </c>
      <c r="AM13" s="5">
        <v>163.6</v>
      </c>
      <c r="AN13" s="5">
        <v>164.2</v>
      </c>
      <c r="AO13" s="5">
        <v>196.6</v>
      </c>
      <c r="AP13" s="5">
        <v>264.85</v>
      </c>
      <c r="AQ13" s="5">
        <v>299.65</v>
      </c>
      <c r="AR13" s="5">
        <v>330.25</v>
      </c>
      <c r="AS13" s="5">
        <v>296</v>
      </c>
      <c r="AT13" s="5">
        <v>300</v>
      </c>
      <c r="AU13" s="5">
        <v>1825</v>
      </c>
      <c r="AV13" s="5">
        <v>346</v>
      </c>
      <c r="AW13" s="5">
        <v>338</v>
      </c>
      <c r="AX13" s="5">
        <v>373</v>
      </c>
      <c r="AY13" s="5">
        <v>374</v>
      </c>
      <c r="AZ13" s="5">
        <v>336</v>
      </c>
      <c r="BA13" s="5">
        <v>340</v>
      </c>
      <c r="BB13" s="5">
        <v>304</v>
      </c>
      <c r="BC13" s="5">
        <v>309</v>
      </c>
    </row>
    <row r="14" spans="1:55" s="3" customFormat="1" ht="12.75">
      <c r="A14" s="4" t="s">
        <v>40</v>
      </c>
      <c r="B14" s="6">
        <f>16753+270</f>
        <v>17023</v>
      </c>
      <c r="C14" s="5">
        <f>16429.8+211</f>
        <v>16640.8</v>
      </c>
      <c r="D14" s="5">
        <f>16823.8+211</f>
        <v>17034.8</v>
      </c>
      <c r="E14" s="5">
        <f>19735.7+236</f>
        <v>19971.7</v>
      </c>
      <c r="F14" s="6">
        <f>22180.9+225</f>
        <v>22405.9</v>
      </c>
      <c r="G14" s="6">
        <f>24891.7+219</f>
        <v>25110.7</v>
      </c>
      <c r="H14" s="5">
        <f>25323.3+208</f>
        <v>25531.3</v>
      </c>
      <c r="I14" s="5">
        <f>26471.5+204</f>
        <v>26675.5</v>
      </c>
      <c r="J14" s="5">
        <f>26708.8+191</f>
        <v>26899.8</v>
      </c>
      <c r="K14" s="6">
        <f>26629.4+191</f>
        <v>26820.4</v>
      </c>
      <c r="L14" s="6">
        <f>28887.7+185</f>
        <v>29072.7</v>
      </c>
      <c r="M14" s="6">
        <f>30324.9+189</f>
        <v>30513.9</v>
      </c>
      <c r="N14" s="6">
        <f>31163.1+180</f>
        <v>31343.1</v>
      </c>
      <c r="O14" s="5">
        <f>32775.7+181</f>
        <v>32956.7</v>
      </c>
      <c r="P14" s="6">
        <f>37857.5+171</f>
        <v>38028.5</v>
      </c>
      <c r="Q14" s="6">
        <f>40897.6+171</f>
        <v>41068.6</v>
      </c>
      <c r="R14" s="6">
        <f>42242.8+160</f>
        <v>42402.8</v>
      </c>
      <c r="S14" s="6">
        <f>43802.1+160</f>
        <v>43962.1</v>
      </c>
      <c r="T14" s="6">
        <f>46512.3+149</f>
        <v>46661.3</v>
      </c>
      <c r="U14" s="6">
        <f>46448.3+149</f>
        <v>46597.3</v>
      </c>
      <c r="V14" s="6">
        <f>46773-26.8+137</f>
        <v>46883.2</v>
      </c>
      <c r="W14" s="6">
        <f>51075-30.3+149</f>
        <v>51193.7</v>
      </c>
      <c r="X14" s="6">
        <f>49920-30.3+136</f>
        <v>50025.7</v>
      </c>
      <c r="Y14" s="6">
        <f>49701-33.8+138</f>
        <v>49805.2</v>
      </c>
      <c r="Z14" s="6">
        <f>49727-53.8+126</f>
        <v>49799.2</v>
      </c>
      <c r="AA14" s="6">
        <v>49145.2</v>
      </c>
      <c r="AB14" s="6">
        <v>48587.1</v>
      </c>
      <c r="AC14" s="6">
        <v>48231.1</v>
      </c>
      <c r="AD14" s="6">
        <v>46975.1</v>
      </c>
      <c r="AE14" s="6">
        <v>41363</v>
      </c>
      <c r="AF14" s="6">
        <v>41333</v>
      </c>
      <c r="AG14" s="6">
        <v>40174</v>
      </c>
      <c r="AH14" s="6">
        <v>40320</v>
      </c>
      <c r="AI14" s="6">
        <v>39660</v>
      </c>
      <c r="AJ14" s="6">
        <v>39620</v>
      </c>
      <c r="AK14" s="6">
        <v>37331</v>
      </c>
      <c r="AL14" s="6">
        <v>36690</v>
      </c>
      <c r="AM14" s="6">
        <v>35465</v>
      </c>
      <c r="AN14" s="6">
        <v>35367</v>
      </c>
      <c r="AO14" s="6">
        <v>34225</v>
      </c>
      <c r="AP14" s="6">
        <v>34439</v>
      </c>
      <c r="AQ14" s="6">
        <v>28111</v>
      </c>
      <c r="AR14" s="6">
        <v>37975</v>
      </c>
      <c r="AS14" s="6">
        <v>53197</v>
      </c>
      <c r="AT14" s="6">
        <v>53977</v>
      </c>
      <c r="AU14" s="6">
        <v>62678</v>
      </c>
      <c r="AV14" s="6">
        <v>65684.2</v>
      </c>
      <c r="AW14" s="6">
        <v>63184.1</v>
      </c>
      <c r="AX14" s="6">
        <v>62408.5</v>
      </c>
      <c r="AY14" s="6">
        <f>61282+236</f>
        <v>61518</v>
      </c>
      <c r="AZ14" s="6">
        <v>58720.5</v>
      </c>
      <c r="BA14" s="6">
        <v>53668.7</v>
      </c>
      <c r="BB14" s="6">
        <v>67829</v>
      </c>
      <c r="BC14" s="6">
        <v>70809</v>
      </c>
    </row>
    <row r="15" spans="1:55" s="3" customFormat="1" ht="12.75">
      <c r="A15" s="4" t="s">
        <v>9</v>
      </c>
      <c r="B15" s="5"/>
      <c r="C15" s="5"/>
      <c r="D15" s="5"/>
      <c r="E15" s="5"/>
      <c r="F15" s="5"/>
      <c r="G15" s="5"/>
      <c r="H15" s="5"/>
      <c r="I15" s="5"/>
      <c r="J15" s="5"/>
      <c r="K15" s="5"/>
      <c r="L15" s="14"/>
      <c r="M15" s="14"/>
      <c r="N15" s="14"/>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row>
    <row r="16" spans="1:55" s="3" customFormat="1" ht="15.75">
      <c r="A16" s="4" t="s">
        <v>57</v>
      </c>
      <c r="B16" s="5">
        <v>4597</v>
      </c>
      <c r="C16" s="16">
        <v>4527</v>
      </c>
      <c r="D16" s="16">
        <v>4564</v>
      </c>
      <c r="E16" s="16">
        <v>4536</v>
      </c>
      <c r="F16" s="5">
        <v>4504</v>
      </c>
      <c r="G16" s="5">
        <v>4356</v>
      </c>
      <c r="H16" s="5">
        <v>4411</v>
      </c>
      <c r="I16" s="5">
        <v>4388</v>
      </c>
      <c r="J16" s="5">
        <v>4359</v>
      </c>
      <c r="K16" s="5">
        <v>4331</v>
      </c>
      <c r="L16" s="14">
        <v>4551</v>
      </c>
      <c r="M16" s="14">
        <v>4545</v>
      </c>
      <c r="N16" s="14">
        <v>4543</v>
      </c>
      <c r="O16" s="5">
        <v>4522</v>
      </c>
      <c r="P16" s="5">
        <v>4515</v>
      </c>
      <c r="Q16" s="5">
        <v>4525</v>
      </c>
      <c r="R16" s="5">
        <v>4493</v>
      </c>
      <c r="S16" s="5">
        <v>4497</v>
      </c>
      <c r="T16" s="5">
        <v>4525</v>
      </c>
      <c r="U16" s="5">
        <v>4497</v>
      </c>
      <c r="V16" s="5">
        <v>4449</v>
      </c>
      <c r="W16" s="5">
        <v>4876</v>
      </c>
      <c r="X16" s="5">
        <v>4775</v>
      </c>
      <c r="Y16" s="5">
        <v>4831</v>
      </c>
      <c r="Z16" s="5">
        <v>4818</v>
      </c>
      <c r="AA16" s="5">
        <v>4819</v>
      </c>
      <c r="AB16" s="5">
        <v>4804</v>
      </c>
      <c r="AC16" s="5">
        <v>4793</v>
      </c>
      <c r="AD16" s="5">
        <v>4672</v>
      </c>
      <c r="AE16" s="5">
        <v>4647</v>
      </c>
      <c r="AF16" s="5">
        <v>4640</v>
      </c>
      <c r="AG16" s="5">
        <v>4623</v>
      </c>
      <c r="AH16" s="5">
        <v>4605</v>
      </c>
      <c r="AI16" s="5">
        <v>4677</v>
      </c>
      <c r="AJ16" s="5">
        <v>4701</v>
      </c>
      <c r="AK16" s="5">
        <v>4644</v>
      </c>
      <c r="AL16" s="5">
        <v>4611</v>
      </c>
      <c r="AM16" s="5">
        <v>4671</v>
      </c>
      <c r="AN16" s="5">
        <v>4762</v>
      </c>
      <c r="AO16" s="5">
        <v>4814</v>
      </c>
      <c r="AP16" s="5">
        <v>4899.4</v>
      </c>
      <c r="AQ16" s="5">
        <v>5227.4</v>
      </c>
      <c r="AR16" s="5">
        <v>5375</v>
      </c>
      <c r="AS16" s="5">
        <v>5457</v>
      </c>
      <c r="AT16" s="5">
        <v>5511</v>
      </c>
      <c r="AU16" s="5">
        <v>5578</v>
      </c>
      <c r="AV16" s="5">
        <v>5888.4</v>
      </c>
      <c r="AW16" s="5">
        <f>5852.3+8239.5</f>
        <v>14091.8</v>
      </c>
      <c r="AX16" s="5">
        <f>5898+8303</f>
        <v>14201</v>
      </c>
      <c r="AY16" s="5">
        <f>5956.8+8386.6</f>
        <v>14343.400000000001</v>
      </c>
      <c r="AZ16" s="5">
        <v>14073</v>
      </c>
      <c r="BA16" s="5">
        <v>13342</v>
      </c>
      <c r="BB16" s="5">
        <v>13617</v>
      </c>
      <c r="BC16" s="5">
        <v>14454</v>
      </c>
    </row>
    <row r="17" spans="1:55" s="3" customFormat="1" ht="12.75">
      <c r="A17" s="4"/>
      <c r="B17" s="5"/>
      <c r="C17" s="5"/>
      <c r="D17" s="5"/>
      <c r="E17" s="5"/>
      <c r="F17" s="5"/>
      <c r="G17" s="5"/>
      <c r="H17" s="5"/>
      <c r="I17" s="5"/>
      <c r="J17" s="5"/>
      <c r="K17" s="5"/>
      <c r="L17" s="14"/>
      <c r="M17" s="14"/>
      <c r="N17" s="14"/>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s="3" customFormat="1" ht="12.75">
      <c r="A18" s="13" t="s">
        <v>10</v>
      </c>
      <c r="B18" s="17">
        <f aca="true" t="shared" si="18" ref="B18:R18">B19+B25</f>
        <v>63.2</v>
      </c>
      <c r="C18" s="17">
        <f t="shared" si="18"/>
        <v>91.30000000000001</v>
      </c>
      <c r="D18" s="17">
        <f t="shared" si="18"/>
        <v>60.800000000000004</v>
      </c>
      <c r="E18" s="17">
        <f t="shared" si="18"/>
        <v>94.39999999999999</v>
      </c>
      <c r="F18" s="17">
        <f t="shared" si="18"/>
        <v>129.7</v>
      </c>
      <c r="G18" s="17">
        <f t="shared" si="18"/>
        <v>139.22099999999998</v>
      </c>
      <c r="H18" s="17">
        <f t="shared" si="18"/>
        <v>487.271</v>
      </c>
      <c r="I18" s="17">
        <f t="shared" si="18"/>
        <v>186.72</v>
      </c>
      <c r="J18" s="17">
        <f t="shared" si="18"/>
        <v>146.62</v>
      </c>
      <c r="K18" s="17">
        <f t="shared" si="18"/>
        <v>148.1</v>
      </c>
      <c r="L18" s="17">
        <f t="shared" si="18"/>
        <v>156.2</v>
      </c>
      <c r="M18" s="17">
        <f t="shared" si="18"/>
        <v>116.937</v>
      </c>
      <c r="N18" s="17">
        <f t="shared" si="18"/>
        <v>115.6</v>
      </c>
      <c r="O18" s="17">
        <f t="shared" si="18"/>
        <v>114.4</v>
      </c>
      <c r="P18" s="17">
        <f t="shared" si="18"/>
        <v>113</v>
      </c>
      <c r="Q18" s="17">
        <f t="shared" si="18"/>
        <v>109.3</v>
      </c>
      <c r="R18" s="17">
        <f t="shared" si="18"/>
        <v>103.8</v>
      </c>
      <c r="S18" s="17">
        <f aca="true" t="shared" si="19" ref="S18:Z18">S19+S25</f>
        <v>269.97630101422</v>
      </c>
      <c r="T18" s="17">
        <f t="shared" si="19"/>
        <v>339.53789460421996</v>
      </c>
      <c r="U18" s="17">
        <f t="shared" si="19"/>
        <v>287.1376631252166</v>
      </c>
      <c r="V18" s="17">
        <f t="shared" si="19"/>
        <v>180.70069716544606</v>
      </c>
      <c r="W18" s="17">
        <f t="shared" si="19"/>
        <v>112.84233883978</v>
      </c>
      <c r="X18" s="17">
        <f t="shared" si="19"/>
        <v>123.509977211962</v>
      </c>
      <c r="Y18" s="17">
        <f t="shared" si="19"/>
        <v>175.2</v>
      </c>
      <c r="Z18" s="17">
        <f t="shared" si="19"/>
        <v>349.8087881167909</v>
      </c>
      <c r="AA18" s="17">
        <f aca="true" t="shared" si="20" ref="AA18:AG18">AA19+AA25</f>
        <v>293.945</v>
      </c>
      <c r="AB18" s="17">
        <f t="shared" si="20"/>
        <v>326.7</v>
      </c>
      <c r="AC18" s="17">
        <f t="shared" si="20"/>
        <v>333.6</v>
      </c>
      <c r="AD18" s="17">
        <f t="shared" si="20"/>
        <v>335.2</v>
      </c>
      <c r="AE18" s="17">
        <f t="shared" si="20"/>
        <v>334.1</v>
      </c>
      <c r="AF18" s="17">
        <f t="shared" si="20"/>
        <v>333.6</v>
      </c>
      <c r="AG18" s="17">
        <f t="shared" si="20"/>
        <v>337.8</v>
      </c>
      <c r="AH18" s="17">
        <f aca="true" t="shared" si="21" ref="AH18:AN18">AH19+AH25</f>
        <v>338.00000000000006</v>
      </c>
      <c r="AI18" s="17">
        <f t="shared" si="21"/>
        <v>253.42647785787696</v>
      </c>
      <c r="AJ18" s="17">
        <f t="shared" si="21"/>
        <v>210.960424638281</v>
      </c>
      <c r="AK18" s="17">
        <f t="shared" si="21"/>
        <v>351.076788888738</v>
      </c>
      <c r="AL18" s="17">
        <f t="shared" si="21"/>
        <v>531.152024388483</v>
      </c>
      <c r="AM18" s="17">
        <f t="shared" si="21"/>
        <v>550.6101245202599</v>
      </c>
      <c r="AN18" s="17">
        <f t="shared" si="21"/>
        <v>337.518172256892</v>
      </c>
      <c r="AO18" s="17">
        <f aca="true" t="shared" si="22" ref="AO18:AU18">AO19+AO25</f>
        <v>337.265755172464</v>
      </c>
      <c r="AP18" s="17">
        <f t="shared" si="22"/>
        <v>325.387621826399</v>
      </c>
      <c r="AQ18" s="17">
        <f t="shared" si="22"/>
        <v>367.92832329821397</v>
      </c>
      <c r="AR18" s="17">
        <f t="shared" si="22"/>
        <v>10025.485557643324</v>
      </c>
      <c r="AS18" s="17">
        <f t="shared" si="22"/>
        <v>10178.152517423621</v>
      </c>
      <c r="AT18" s="17">
        <f t="shared" si="22"/>
        <v>2732.970909531042</v>
      </c>
      <c r="AU18" s="17">
        <f t="shared" si="22"/>
        <v>4799.080709322869</v>
      </c>
      <c r="AV18" s="17">
        <f aca="true" t="shared" si="23" ref="AV18:BA18">AV19+AV25</f>
        <v>8934.882204527765</v>
      </c>
      <c r="AW18" s="17">
        <f t="shared" si="23"/>
        <v>26057.18364092147</v>
      </c>
      <c r="AX18" s="17">
        <f t="shared" si="23"/>
        <v>35321.5496078666</v>
      </c>
      <c r="AY18" s="17">
        <f t="shared" si="23"/>
        <v>40947.455451019494</v>
      </c>
      <c r="AZ18" s="17">
        <f t="shared" si="23"/>
        <v>52618.35375687689</v>
      </c>
      <c r="BA18" s="17">
        <f t="shared" si="23"/>
        <v>52364.30596562881</v>
      </c>
      <c r="BB18" s="17">
        <f>BB19+BB25</f>
        <v>51194.86374597721</v>
      </c>
      <c r="BC18" s="17">
        <f>BC19+BC25</f>
        <v>53649.27040248424</v>
      </c>
    </row>
    <row r="19" spans="1:55" s="3" customFormat="1" ht="12.75">
      <c r="A19" s="1" t="s">
        <v>11</v>
      </c>
      <c r="B19" s="5">
        <f aca="true" t="shared" si="24" ref="B19:O19">B20+B21+B22+B23</f>
        <v>63.2</v>
      </c>
      <c r="C19" s="5">
        <f t="shared" si="24"/>
        <v>91.30000000000001</v>
      </c>
      <c r="D19" s="5">
        <f t="shared" si="24"/>
        <v>60.800000000000004</v>
      </c>
      <c r="E19" s="5">
        <f t="shared" si="24"/>
        <v>94.39999999999999</v>
      </c>
      <c r="F19" s="5">
        <f t="shared" si="24"/>
        <v>129.7</v>
      </c>
      <c r="G19" s="5">
        <f t="shared" si="24"/>
        <v>139.22099999999998</v>
      </c>
      <c r="H19" s="5">
        <f t="shared" si="24"/>
        <v>487.271</v>
      </c>
      <c r="I19" s="5">
        <f t="shared" si="24"/>
        <v>186.72</v>
      </c>
      <c r="J19" s="5">
        <f t="shared" si="24"/>
        <v>146.62</v>
      </c>
      <c r="K19" s="5">
        <f t="shared" si="24"/>
        <v>148.1</v>
      </c>
      <c r="L19" s="5">
        <f t="shared" si="24"/>
        <v>156.2</v>
      </c>
      <c r="M19" s="5">
        <f t="shared" si="24"/>
        <v>116.937</v>
      </c>
      <c r="N19" s="5">
        <f t="shared" si="24"/>
        <v>115.6</v>
      </c>
      <c r="O19" s="5">
        <f t="shared" si="24"/>
        <v>114.4</v>
      </c>
      <c r="P19" s="5">
        <f aca="true" t="shared" si="25" ref="P19:U19">P20+P21+P22+P23</f>
        <v>113</v>
      </c>
      <c r="Q19" s="5">
        <f t="shared" si="25"/>
        <v>109.3</v>
      </c>
      <c r="R19" s="5">
        <f t="shared" si="25"/>
        <v>103.8</v>
      </c>
      <c r="S19" s="5">
        <f t="shared" si="25"/>
        <v>269.97630101422</v>
      </c>
      <c r="T19" s="5">
        <f t="shared" si="25"/>
        <v>339.53789460421996</v>
      </c>
      <c r="U19" s="5">
        <f t="shared" si="25"/>
        <v>287.1376631252166</v>
      </c>
      <c r="V19" s="5">
        <f aca="true" t="shared" si="26" ref="V19:AA19">V20+V21+V22+V23</f>
        <v>180.70069716544606</v>
      </c>
      <c r="W19" s="5">
        <f t="shared" si="26"/>
        <v>112.84233883978</v>
      </c>
      <c r="X19" s="5">
        <f t="shared" si="26"/>
        <v>123.509977211962</v>
      </c>
      <c r="Y19" s="5">
        <f t="shared" si="26"/>
        <v>175.2</v>
      </c>
      <c r="Z19" s="5">
        <f t="shared" si="26"/>
        <v>345.6087881167909</v>
      </c>
      <c r="AA19" s="5">
        <f t="shared" si="26"/>
        <v>284.445</v>
      </c>
      <c r="AB19" s="5">
        <f aca="true" t="shared" si="27" ref="AB19:AG19">AB20+AB21+AB22+AB23</f>
        <v>317.2</v>
      </c>
      <c r="AC19" s="5">
        <f t="shared" si="27"/>
        <v>324.1</v>
      </c>
      <c r="AD19" s="5">
        <f t="shared" si="27"/>
        <v>325.7</v>
      </c>
      <c r="AE19" s="5">
        <f t="shared" si="27"/>
        <v>324.6</v>
      </c>
      <c r="AF19" s="5">
        <f t="shared" si="27"/>
        <v>324.1</v>
      </c>
      <c r="AG19" s="5">
        <f t="shared" si="27"/>
        <v>328.3</v>
      </c>
      <c r="AH19" s="5">
        <f aca="true" t="shared" si="28" ref="AH19:AN19">AH20+AH21+AH22+AH23</f>
        <v>334.40000000000003</v>
      </c>
      <c r="AI19" s="5">
        <f t="shared" si="28"/>
        <v>232.62647785787695</v>
      </c>
      <c r="AJ19" s="5">
        <f t="shared" si="28"/>
        <v>189.660424638281</v>
      </c>
      <c r="AK19" s="5">
        <f t="shared" si="28"/>
        <v>329.776788888738</v>
      </c>
      <c r="AL19" s="5">
        <f t="shared" si="28"/>
        <v>509.852024388483</v>
      </c>
      <c r="AM19" s="5">
        <f t="shared" si="28"/>
        <v>529.3101245202599</v>
      </c>
      <c r="AN19" s="5">
        <f t="shared" si="28"/>
        <v>316.218172256892</v>
      </c>
      <c r="AO19" s="5">
        <f aca="true" t="shared" si="29" ref="AO19:AU19">AO20+AO21+AO22+AO23</f>
        <v>315.965755172464</v>
      </c>
      <c r="AP19" s="5">
        <f t="shared" si="29"/>
        <v>304.087621826399</v>
      </c>
      <c r="AQ19" s="5">
        <f t="shared" si="29"/>
        <v>339.92832329821397</v>
      </c>
      <c r="AR19" s="5">
        <f t="shared" si="29"/>
        <v>10015.335557643324</v>
      </c>
      <c r="AS19" s="5">
        <f t="shared" si="29"/>
        <v>10169.152517423621</v>
      </c>
      <c r="AT19" s="5">
        <f t="shared" si="29"/>
        <v>2725.870909531042</v>
      </c>
      <c r="AU19" s="5">
        <f t="shared" si="29"/>
        <v>726.4207093228688</v>
      </c>
      <c r="AV19" s="5">
        <f aca="true" t="shared" si="30" ref="AV19:BA19">AV20+AV21+AV22+AV23</f>
        <v>4665.992204527765</v>
      </c>
      <c r="AW19" s="5">
        <f t="shared" si="30"/>
        <v>4667.733640921469</v>
      </c>
      <c r="AX19" s="5">
        <f t="shared" si="30"/>
        <v>492.629607866598</v>
      </c>
      <c r="AY19" s="5">
        <f t="shared" si="30"/>
        <v>907.0454510194902</v>
      </c>
      <c r="AZ19" s="5">
        <f t="shared" si="30"/>
        <v>523.0537568768818</v>
      </c>
      <c r="BA19" s="5">
        <f t="shared" si="30"/>
        <v>768.5659656288142</v>
      </c>
      <c r="BB19" s="5">
        <f>BB20+BB21+BB22+BB23</f>
        <v>711.748745977209</v>
      </c>
      <c r="BC19" s="5">
        <f>BC20+BC21+BC22+BC23</f>
        <v>657.845402484235</v>
      </c>
    </row>
    <row r="20" spans="1:55" s="3" customFormat="1" ht="12.75">
      <c r="A20" s="4" t="s">
        <v>12</v>
      </c>
      <c r="B20" s="5"/>
      <c r="C20" s="5"/>
      <c r="D20" s="5"/>
      <c r="E20" s="5"/>
      <c r="F20" s="5"/>
      <c r="G20" s="5"/>
      <c r="H20" s="5"/>
      <c r="I20" s="5"/>
      <c r="J20" s="5"/>
      <c r="K20" s="5"/>
      <c r="L20" s="14"/>
      <c r="M20" s="14"/>
      <c r="N20" s="14"/>
      <c r="O20" s="5"/>
      <c r="P20" s="5"/>
      <c r="Q20" s="5"/>
      <c r="R20" s="5"/>
      <c r="S20" s="5">
        <v>148.1</v>
      </c>
      <c r="T20" s="5">
        <v>246.7</v>
      </c>
      <c r="U20" s="5">
        <v>193.6774163148516</v>
      </c>
      <c r="V20" s="5">
        <v>94.72927778394303</v>
      </c>
      <c r="W20" s="5">
        <v>0</v>
      </c>
      <c r="X20" s="5">
        <v>0</v>
      </c>
      <c r="Y20" s="5">
        <v>0</v>
      </c>
      <c r="Z20" s="5">
        <v>3.5</v>
      </c>
      <c r="AA20" s="5">
        <v>3.5</v>
      </c>
      <c r="AB20" s="5">
        <v>0</v>
      </c>
      <c r="AC20" s="5">
        <v>0</v>
      </c>
      <c r="AD20" s="5">
        <v>0</v>
      </c>
      <c r="AE20" s="5">
        <v>0</v>
      </c>
      <c r="AF20" s="5">
        <v>0</v>
      </c>
      <c r="AG20" s="5">
        <v>7</v>
      </c>
      <c r="AH20" s="5">
        <v>11.3</v>
      </c>
      <c r="AI20" s="5">
        <v>11.3</v>
      </c>
      <c r="AJ20" s="5">
        <v>31.8</v>
      </c>
      <c r="AK20" s="5">
        <v>28.2</v>
      </c>
      <c r="AL20" s="5">
        <v>34.2</v>
      </c>
      <c r="AM20" s="5">
        <v>62.1</v>
      </c>
      <c r="AN20" s="5">
        <v>47.3</v>
      </c>
      <c r="AO20" s="5">
        <v>75.5</v>
      </c>
      <c r="AP20" s="5">
        <v>56.65</v>
      </c>
      <c r="AQ20" s="5">
        <v>46.25</v>
      </c>
      <c r="AR20" s="5">
        <v>17.15</v>
      </c>
      <c r="AS20" s="5">
        <v>42.8</v>
      </c>
      <c r="AT20" s="5">
        <v>35.85</v>
      </c>
      <c r="AU20" s="5">
        <v>35.45</v>
      </c>
      <c r="AV20" s="5">
        <v>49.75</v>
      </c>
      <c r="AW20" s="5">
        <v>29.35</v>
      </c>
      <c r="AX20" s="5">
        <v>44.25</v>
      </c>
      <c r="AY20" s="5">
        <v>24.35</v>
      </c>
      <c r="AZ20" s="5">
        <v>45.35</v>
      </c>
      <c r="BA20" s="5">
        <v>21.95</v>
      </c>
      <c r="BB20" s="5">
        <v>46.85</v>
      </c>
      <c r="BC20" s="5">
        <v>7.4</v>
      </c>
    </row>
    <row r="21" spans="1:55" s="3" customFormat="1" ht="12.75">
      <c r="A21" s="4" t="s">
        <v>13</v>
      </c>
      <c r="B21" s="5"/>
      <c r="C21" s="5"/>
      <c r="D21" s="5"/>
      <c r="E21" s="5"/>
      <c r="F21" s="5"/>
      <c r="G21" s="5"/>
      <c r="H21" s="5"/>
      <c r="I21" s="5"/>
      <c r="J21" s="5"/>
      <c r="K21" s="5"/>
      <c r="L21" s="14"/>
      <c r="M21" s="14"/>
      <c r="N21" s="14"/>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v>9659.004697280001</v>
      </c>
      <c r="AS21" s="5">
        <v>9614.86239369</v>
      </c>
      <c r="AT21" s="5">
        <v>1976.6671715999998</v>
      </c>
      <c r="AU21" s="5">
        <v>0</v>
      </c>
      <c r="AV21" s="5">
        <v>4263.287369289999</v>
      </c>
      <c r="AW21" s="5">
        <v>4276.810000000001</v>
      </c>
      <c r="AX21" s="5">
        <v>0</v>
      </c>
      <c r="AY21" s="5">
        <v>0</v>
      </c>
      <c r="AZ21" s="5">
        <v>0</v>
      </c>
      <c r="BA21" s="5">
        <v>0</v>
      </c>
      <c r="BB21" s="5">
        <v>0</v>
      </c>
      <c r="BC21" s="5">
        <v>0</v>
      </c>
    </row>
    <row r="22" spans="1:55" s="3" customFormat="1" ht="12.75">
      <c r="A22" s="4" t="s">
        <v>14</v>
      </c>
      <c r="B22" s="5">
        <v>62.2</v>
      </c>
      <c r="C22" s="5">
        <v>90.9</v>
      </c>
      <c r="D22" s="5">
        <v>60.7</v>
      </c>
      <c r="E22" s="5">
        <v>94.3</v>
      </c>
      <c r="F22" s="5">
        <v>129.6</v>
      </c>
      <c r="G22" s="5">
        <v>139.2</v>
      </c>
      <c r="H22" s="5">
        <v>487.25</v>
      </c>
      <c r="I22" s="5">
        <v>186.7</v>
      </c>
      <c r="J22" s="5">
        <v>146.6</v>
      </c>
      <c r="K22" s="5">
        <v>148.1</v>
      </c>
      <c r="L22" s="5">
        <v>156.2</v>
      </c>
      <c r="M22" s="5">
        <v>116.937</v>
      </c>
      <c r="N22" s="5">
        <v>115.6</v>
      </c>
      <c r="O22" s="5">
        <v>114.4</v>
      </c>
      <c r="P22" s="5">
        <v>113</v>
      </c>
      <c r="Q22" s="5">
        <v>109.3</v>
      </c>
      <c r="R22" s="5">
        <v>103.8</v>
      </c>
      <c r="S22" s="5">
        <v>121.87630101422</v>
      </c>
      <c r="T22" s="5">
        <v>92.83789460421998</v>
      </c>
      <c r="U22" s="5">
        <v>93.46024681036499</v>
      </c>
      <c r="V22" s="5">
        <v>85.97141938150301</v>
      </c>
      <c r="W22" s="5">
        <v>112.84233883978</v>
      </c>
      <c r="X22" s="5">
        <v>123.509977211962</v>
      </c>
      <c r="Y22" s="5">
        <v>175.2</v>
      </c>
      <c r="Z22" s="5">
        <v>342.1087881167909</v>
      </c>
      <c r="AA22" s="5">
        <v>280.945</v>
      </c>
      <c r="AB22" s="5">
        <v>317.2</v>
      </c>
      <c r="AC22" s="5">
        <v>324.1</v>
      </c>
      <c r="AD22" s="5">
        <v>325.7</v>
      </c>
      <c r="AE22" s="5">
        <v>324.6</v>
      </c>
      <c r="AF22" s="5">
        <v>324.1</v>
      </c>
      <c r="AG22" s="5">
        <v>321.3</v>
      </c>
      <c r="AH22" s="5">
        <v>323.1</v>
      </c>
      <c r="AI22" s="5">
        <v>221.32647785787694</v>
      </c>
      <c r="AJ22" s="5">
        <v>157.860424638281</v>
      </c>
      <c r="AK22" s="5">
        <v>301.576788888738</v>
      </c>
      <c r="AL22" s="5">
        <v>475.652024388483</v>
      </c>
      <c r="AM22" s="5">
        <v>467.21012452025997</v>
      </c>
      <c r="AN22" s="5">
        <v>268.918172256892</v>
      </c>
      <c r="AO22" s="5">
        <v>240.46575517246401</v>
      </c>
      <c r="AP22" s="5">
        <v>247.437621826399</v>
      </c>
      <c r="AQ22" s="5">
        <v>291.626423298214</v>
      </c>
      <c r="AR22" s="5">
        <v>337.07521736332194</v>
      </c>
      <c r="AS22" s="5">
        <v>509.368679733621</v>
      </c>
      <c r="AT22" s="5">
        <v>711.259814931042</v>
      </c>
      <c r="AU22" s="5">
        <v>688.8566293228688</v>
      </c>
      <c r="AV22" s="5">
        <v>350.71337723776594</v>
      </c>
      <c r="AW22" s="5">
        <v>359.2995159214669</v>
      </c>
      <c r="AX22" s="5">
        <v>446.068118866598</v>
      </c>
      <c r="AY22" s="5">
        <v>880.3955890194902</v>
      </c>
      <c r="AZ22" s="5">
        <v>475.3455018768819</v>
      </c>
      <c r="BA22" s="5">
        <v>744.2579206288142</v>
      </c>
      <c r="BB22" s="5">
        <v>662.5942159772089</v>
      </c>
      <c r="BC22" s="5">
        <v>648.067122484235</v>
      </c>
    </row>
    <row r="23" spans="1:55" s="3" customFormat="1" ht="12.75">
      <c r="A23" s="4" t="s">
        <v>15</v>
      </c>
      <c r="B23" s="5">
        <v>1</v>
      </c>
      <c r="C23" s="5">
        <v>0.4</v>
      </c>
      <c r="D23" s="5">
        <v>0.1</v>
      </c>
      <c r="E23" s="5">
        <v>0.1</v>
      </c>
      <c r="F23" s="5">
        <v>0.1</v>
      </c>
      <c r="G23" s="5">
        <v>0.021</v>
      </c>
      <c r="H23" s="5">
        <v>0.021</v>
      </c>
      <c r="I23" s="5">
        <v>0.02</v>
      </c>
      <c r="J23" s="5">
        <v>0.02</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2.0519</v>
      </c>
      <c r="AR23" s="5">
        <v>2.105643</v>
      </c>
      <c r="AS23" s="5">
        <v>2.121444</v>
      </c>
      <c r="AT23" s="5">
        <v>2.093923</v>
      </c>
      <c r="AU23" s="5">
        <v>2.11408</v>
      </c>
      <c r="AV23" s="5">
        <v>2.241458</v>
      </c>
      <c r="AW23" s="5">
        <v>2.274125</v>
      </c>
      <c r="AX23" s="5">
        <v>2.311489</v>
      </c>
      <c r="AY23" s="5">
        <v>2.299862</v>
      </c>
      <c r="AZ23" s="5">
        <v>2.358255</v>
      </c>
      <c r="BA23" s="5">
        <v>2.358045</v>
      </c>
      <c r="BB23" s="5">
        <v>2.30453</v>
      </c>
      <c r="BC23" s="5">
        <v>2.37828</v>
      </c>
    </row>
    <row r="24" spans="1:55" s="3" customFormat="1" ht="12.75">
      <c r="A24" s="4"/>
      <c r="B24" s="5"/>
      <c r="C24" s="5"/>
      <c r="D24" s="5"/>
      <c r="E24" s="5"/>
      <c r="F24" s="5"/>
      <c r="G24" s="5"/>
      <c r="H24" s="5"/>
      <c r="I24" s="5"/>
      <c r="J24" s="5"/>
      <c r="K24" s="5"/>
      <c r="L24" s="14"/>
      <c r="M24" s="14"/>
      <c r="N24" s="14"/>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s="3" customFormat="1" ht="12.75">
      <c r="A25" s="1" t="s">
        <v>7</v>
      </c>
      <c r="B25" s="4">
        <f aca="true" t="shared" si="31" ref="B25:N25">SUM(B26:B29)</f>
        <v>0</v>
      </c>
      <c r="C25" s="4">
        <f t="shared" si="31"/>
        <v>0</v>
      </c>
      <c r="D25" s="4">
        <f t="shared" si="31"/>
        <v>0</v>
      </c>
      <c r="E25" s="4">
        <f t="shared" si="31"/>
        <v>0</v>
      </c>
      <c r="F25" s="4">
        <f t="shared" si="31"/>
        <v>0</v>
      </c>
      <c r="G25" s="4">
        <f t="shared" si="31"/>
        <v>0</v>
      </c>
      <c r="H25" s="4">
        <f t="shared" si="31"/>
        <v>0</v>
      </c>
      <c r="I25" s="4">
        <f t="shared" si="31"/>
        <v>0</v>
      </c>
      <c r="J25" s="4">
        <f t="shared" si="31"/>
        <v>0</v>
      </c>
      <c r="K25" s="4">
        <f t="shared" si="31"/>
        <v>0</v>
      </c>
      <c r="L25" s="4">
        <f t="shared" si="31"/>
        <v>0</v>
      </c>
      <c r="M25" s="4">
        <f t="shared" si="31"/>
        <v>0</v>
      </c>
      <c r="N25" s="4">
        <f t="shared" si="31"/>
        <v>0</v>
      </c>
      <c r="O25" s="4">
        <f aca="true" t="shared" si="32" ref="O25:T26">SUM(O26:O29)</f>
        <v>0</v>
      </c>
      <c r="P25" s="4">
        <f t="shared" si="32"/>
        <v>0</v>
      </c>
      <c r="Q25" s="4">
        <f t="shared" si="32"/>
        <v>0</v>
      </c>
      <c r="R25" s="4">
        <f t="shared" si="32"/>
        <v>0</v>
      </c>
      <c r="S25" s="4">
        <f t="shared" si="32"/>
        <v>0</v>
      </c>
      <c r="T25" s="4">
        <f t="shared" si="32"/>
        <v>0</v>
      </c>
      <c r="U25" s="4">
        <f aca="true" t="shared" si="33" ref="U25:Z25">SUM(U26:U29)</f>
        <v>0</v>
      </c>
      <c r="V25" s="4">
        <f t="shared" si="33"/>
        <v>0</v>
      </c>
      <c r="W25" s="4">
        <f t="shared" si="33"/>
        <v>0</v>
      </c>
      <c r="X25" s="4">
        <f t="shared" si="33"/>
        <v>0</v>
      </c>
      <c r="Y25" s="4">
        <f t="shared" si="33"/>
        <v>0</v>
      </c>
      <c r="Z25" s="4">
        <f t="shared" si="33"/>
        <v>4.2</v>
      </c>
      <c r="AA25" s="4">
        <f aca="true" t="shared" si="34" ref="AA25:AG25">SUM(AA26:AA29)</f>
        <v>9.5</v>
      </c>
      <c r="AB25" s="4">
        <f t="shared" si="34"/>
        <v>9.5</v>
      </c>
      <c r="AC25" s="4">
        <f t="shared" si="34"/>
        <v>9.5</v>
      </c>
      <c r="AD25" s="4">
        <f t="shared" si="34"/>
        <v>9.5</v>
      </c>
      <c r="AE25" s="4">
        <f t="shared" si="34"/>
        <v>9.5</v>
      </c>
      <c r="AF25" s="4">
        <f t="shared" si="34"/>
        <v>9.5</v>
      </c>
      <c r="AG25" s="4">
        <f t="shared" si="34"/>
        <v>9.5</v>
      </c>
      <c r="AH25" s="4">
        <f aca="true" t="shared" si="35" ref="AH25:AN25">SUM(AH26:AH29)</f>
        <v>3.6</v>
      </c>
      <c r="AI25" s="4">
        <f t="shared" si="35"/>
        <v>20.8</v>
      </c>
      <c r="AJ25" s="4">
        <f t="shared" si="35"/>
        <v>21.3</v>
      </c>
      <c r="AK25" s="4">
        <f t="shared" si="35"/>
        <v>21.3</v>
      </c>
      <c r="AL25" s="4">
        <f t="shared" si="35"/>
        <v>21.3</v>
      </c>
      <c r="AM25" s="4">
        <f t="shared" si="35"/>
        <v>21.3</v>
      </c>
      <c r="AN25" s="4">
        <f t="shared" si="35"/>
        <v>21.3</v>
      </c>
      <c r="AO25" s="4">
        <f aca="true" t="shared" si="36" ref="AO25:AU25">SUM(AO26:AO29)</f>
        <v>21.3</v>
      </c>
      <c r="AP25" s="4">
        <f t="shared" si="36"/>
        <v>21.3</v>
      </c>
      <c r="AQ25" s="4">
        <f t="shared" si="36"/>
        <v>28</v>
      </c>
      <c r="AR25" s="4">
        <f t="shared" si="36"/>
        <v>10.15</v>
      </c>
      <c r="AS25" s="4">
        <f t="shared" si="36"/>
        <v>9</v>
      </c>
      <c r="AT25" s="4">
        <f t="shared" si="36"/>
        <v>7.1</v>
      </c>
      <c r="AU25" s="4">
        <f t="shared" si="36"/>
        <v>4072.6600000000003</v>
      </c>
      <c r="AV25" s="4">
        <f aca="true" t="shared" si="37" ref="AV25:BA25">SUM(AV26:AV29)</f>
        <v>4268.889999999999</v>
      </c>
      <c r="AW25" s="4">
        <f t="shared" si="37"/>
        <v>21389.45</v>
      </c>
      <c r="AX25" s="4">
        <f t="shared" si="37"/>
        <v>34828.92</v>
      </c>
      <c r="AY25" s="4">
        <f t="shared" si="37"/>
        <v>40040.41</v>
      </c>
      <c r="AZ25" s="4">
        <f t="shared" si="37"/>
        <v>52095.3</v>
      </c>
      <c r="BA25" s="4">
        <f t="shared" si="37"/>
        <v>51595.74</v>
      </c>
      <c r="BB25" s="4">
        <f>SUM(BB26:BB29)</f>
        <v>50483.115</v>
      </c>
      <c r="BC25" s="4">
        <f>SUM(BC26:BC29)</f>
        <v>52991.425</v>
      </c>
    </row>
    <row r="26" spans="1:55" s="3" customFormat="1" ht="12.75">
      <c r="A26" s="4" t="s">
        <v>16</v>
      </c>
      <c r="B26" s="5"/>
      <c r="C26" s="5"/>
      <c r="D26" s="5"/>
      <c r="E26" s="5"/>
      <c r="F26" s="5"/>
      <c r="G26" s="5"/>
      <c r="H26" s="5"/>
      <c r="I26" s="5"/>
      <c r="J26" s="5"/>
      <c r="K26" s="5"/>
      <c r="L26" s="14"/>
      <c r="M26" s="14"/>
      <c r="N26" s="14"/>
      <c r="O26" s="5"/>
      <c r="P26" s="5"/>
      <c r="Q26" s="5"/>
      <c r="R26" s="5"/>
      <c r="S26" s="5"/>
      <c r="T26" s="4">
        <f t="shared" si="32"/>
        <v>0</v>
      </c>
      <c r="U26" s="4">
        <f>SUM(U27:U30)</f>
        <v>0</v>
      </c>
      <c r="V26" s="4">
        <f>SUM(V27:V30)</f>
        <v>0</v>
      </c>
      <c r="W26" s="4">
        <f>SUM(W27:W30)</f>
        <v>0</v>
      </c>
      <c r="X26" s="4">
        <f>SUM(X27:X30)</f>
        <v>0</v>
      </c>
      <c r="Y26" s="4">
        <f>SUM(Y27:Y30)</f>
        <v>0</v>
      </c>
      <c r="Z26" s="5">
        <v>4.2</v>
      </c>
      <c r="AA26" s="5">
        <v>9.5</v>
      </c>
      <c r="AB26" s="5">
        <v>9.5</v>
      </c>
      <c r="AC26" s="5">
        <v>9.5</v>
      </c>
      <c r="AD26" s="5">
        <v>9.5</v>
      </c>
      <c r="AE26" s="5">
        <v>9.5</v>
      </c>
      <c r="AF26" s="5">
        <v>9.5</v>
      </c>
      <c r="AG26" s="5">
        <v>9.5</v>
      </c>
      <c r="AH26" s="5">
        <v>3.6</v>
      </c>
      <c r="AI26" s="5">
        <v>20.8</v>
      </c>
      <c r="AJ26" s="5">
        <v>21.3</v>
      </c>
      <c r="AK26" s="5">
        <v>21.3</v>
      </c>
      <c r="AL26" s="5">
        <v>21.3</v>
      </c>
      <c r="AM26" s="5">
        <v>21.3</v>
      </c>
      <c r="AN26" s="5">
        <v>21.3</v>
      </c>
      <c r="AO26" s="5">
        <v>21.3</v>
      </c>
      <c r="AP26" s="5">
        <v>21.3</v>
      </c>
      <c r="AQ26" s="5">
        <v>28</v>
      </c>
      <c r="AR26" s="5">
        <v>10.15</v>
      </c>
      <c r="AS26" s="5">
        <v>9</v>
      </c>
      <c r="AT26" s="5">
        <v>7.1</v>
      </c>
      <c r="AU26" s="5">
        <v>5.65</v>
      </c>
      <c r="AV26" s="5">
        <v>5.65</v>
      </c>
      <c r="AW26" s="5">
        <v>5.4</v>
      </c>
      <c r="AX26" s="5">
        <v>5.4</v>
      </c>
      <c r="AY26" s="5">
        <v>4.9</v>
      </c>
      <c r="AZ26" s="5">
        <v>4.9</v>
      </c>
      <c r="BA26" s="5">
        <v>4.9</v>
      </c>
      <c r="BB26" s="5">
        <v>4.9</v>
      </c>
      <c r="BC26" s="5">
        <v>0</v>
      </c>
    </row>
    <row r="27" spans="1:55" s="3" customFormat="1" ht="12.75">
      <c r="A27" s="4" t="s">
        <v>17</v>
      </c>
      <c r="B27" s="14"/>
      <c r="C27" s="14"/>
      <c r="D27" s="14"/>
      <c r="E27" s="14"/>
      <c r="F27" s="14"/>
      <c r="G27" s="14"/>
      <c r="H27" s="14"/>
      <c r="I27" s="14"/>
      <c r="J27" s="14"/>
      <c r="K27" s="14"/>
      <c r="L27" s="14"/>
      <c r="M27" s="14"/>
      <c r="N27" s="14"/>
      <c r="O27" s="14"/>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v>0</v>
      </c>
      <c r="AU27" s="5">
        <v>4067.01</v>
      </c>
      <c r="AV27" s="5">
        <v>4263.24</v>
      </c>
      <c r="AW27" s="5">
        <v>21384.05</v>
      </c>
      <c r="AX27" s="5">
        <v>34823.52</v>
      </c>
      <c r="AY27" s="5">
        <v>40035.51</v>
      </c>
      <c r="AZ27" s="5">
        <v>52090.4</v>
      </c>
      <c r="BA27" s="5">
        <v>51590.84</v>
      </c>
      <c r="BB27" s="5">
        <v>50478.215</v>
      </c>
      <c r="BC27" s="5">
        <v>52991.425</v>
      </c>
    </row>
    <row r="28" spans="1:55" s="3" customFormat="1" ht="12.75">
      <c r="A28" s="4" t="s">
        <v>18</v>
      </c>
      <c r="B28" s="5"/>
      <c r="C28" s="5"/>
      <c r="D28" s="5"/>
      <c r="E28" s="5"/>
      <c r="F28" s="5"/>
      <c r="G28" s="5"/>
      <c r="H28" s="5"/>
      <c r="I28" s="5"/>
      <c r="J28" s="5"/>
      <c r="K28" s="5"/>
      <c r="L28" s="14"/>
      <c r="M28" s="14"/>
      <c r="N28" s="14"/>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s="3" customFormat="1" ht="12.75">
      <c r="A29" s="4" t="s">
        <v>33</v>
      </c>
      <c r="B29" s="19"/>
      <c r="C29" s="16"/>
      <c r="D29" s="16"/>
      <c r="E29" s="16"/>
      <c r="F29" s="19"/>
      <c r="G29" s="19"/>
      <c r="H29" s="16"/>
      <c r="I29" s="16"/>
      <c r="J29" s="16"/>
      <c r="K29" s="19"/>
      <c r="L29" s="18"/>
      <c r="M29" s="14"/>
      <c r="N29" s="14"/>
      <c r="O29" s="16"/>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1:55" s="3" customFormat="1" ht="12.75">
      <c r="A30" s="4"/>
      <c r="B30" s="5"/>
      <c r="C30" s="5"/>
      <c r="D30" s="5"/>
      <c r="E30" s="5"/>
      <c r="F30" s="5"/>
      <c r="G30" s="5"/>
      <c r="H30" s="5"/>
      <c r="I30" s="5"/>
      <c r="J30" s="5"/>
      <c r="K30" s="5"/>
      <c r="L30" s="14"/>
      <c r="M30" s="14"/>
      <c r="N30" s="14"/>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s="3" customFormat="1" ht="12.75">
      <c r="A31" s="13" t="s">
        <v>19</v>
      </c>
      <c r="B31" s="13">
        <f aca="true" t="shared" si="38" ref="B31:R31">B32+B38</f>
        <v>174637.9</v>
      </c>
      <c r="C31" s="13">
        <f t="shared" si="38"/>
        <v>168706.80000000002</v>
      </c>
      <c r="D31" s="13">
        <f t="shared" si="38"/>
        <v>196915.2</v>
      </c>
      <c r="E31" s="13">
        <f t="shared" si="38"/>
        <v>198528.10000000003</v>
      </c>
      <c r="F31" s="13">
        <f t="shared" si="38"/>
        <v>188497.3</v>
      </c>
      <c r="G31" s="13">
        <f t="shared" si="38"/>
        <v>194167.4</v>
      </c>
      <c r="H31" s="13">
        <f t="shared" si="38"/>
        <v>190386.6</v>
      </c>
      <c r="I31" s="13">
        <f t="shared" si="38"/>
        <v>213139.09999999998</v>
      </c>
      <c r="J31" s="13">
        <f t="shared" si="38"/>
        <v>218392.2</v>
      </c>
      <c r="K31" s="13">
        <f t="shared" si="38"/>
        <v>220597.69999999998</v>
      </c>
      <c r="L31" s="13">
        <f t="shared" si="38"/>
        <v>248157.19999999998</v>
      </c>
      <c r="M31" s="13">
        <f t="shared" si="38"/>
        <v>234652.55995856313</v>
      </c>
      <c r="N31" s="13">
        <f t="shared" si="38"/>
        <v>247024.4</v>
      </c>
      <c r="O31" s="13">
        <f t="shared" si="38"/>
        <v>260829.3</v>
      </c>
      <c r="P31" s="13">
        <f t="shared" si="38"/>
        <v>281834.8</v>
      </c>
      <c r="Q31" s="13">
        <f t="shared" si="38"/>
        <v>282374.6</v>
      </c>
      <c r="R31" s="13">
        <f t="shared" si="38"/>
        <v>284529.7</v>
      </c>
      <c r="S31" s="13">
        <f aca="true" t="shared" si="39" ref="S31:Z31">S32+S38</f>
        <v>306341.4858943958</v>
      </c>
      <c r="T31" s="13">
        <f t="shared" si="39"/>
        <v>277434.76596440875</v>
      </c>
      <c r="U31" s="13">
        <f t="shared" si="39"/>
        <v>303132.965444825</v>
      </c>
      <c r="V31" s="13">
        <f t="shared" si="39"/>
        <v>325999.57885613904</v>
      </c>
      <c r="W31" s="13">
        <f t="shared" si="39"/>
        <v>330286.30611265614</v>
      </c>
      <c r="X31" s="13">
        <f t="shared" si="39"/>
        <v>289006.00346621725</v>
      </c>
      <c r="Y31" s="13">
        <f t="shared" si="39"/>
        <v>282896.97880543274</v>
      </c>
      <c r="Z31" s="13">
        <f t="shared" si="39"/>
        <v>281389.43467059254</v>
      </c>
      <c r="AA31" s="13">
        <f aca="true" t="shared" si="40" ref="AA31:AG31">AA32+AA38</f>
        <v>295621.8121287508</v>
      </c>
      <c r="AB31" s="13">
        <f t="shared" si="40"/>
        <v>291263.2918805154</v>
      </c>
      <c r="AC31" s="13">
        <f t="shared" si="40"/>
        <v>280680.776743562</v>
      </c>
      <c r="AD31" s="13">
        <f t="shared" si="40"/>
        <v>291465.5868744938</v>
      </c>
      <c r="AE31" s="13">
        <f t="shared" si="40"/>
        <v>295566.10431232455</v>
      </c>
      <c r="AF31" s="13">
        <f t="shared" si="40"/>
        <v>278849.5490921223</v>
      </c>
      <c r="AG31" s="13">
        <f t="shared" si="40"/>
        <v>275377.1643914419</v>
      </c>
      <c r="AH31" s="13">
        <f aca="true" t="shared" si="41" ref="AH31:AN31">AH32+AH38</f>
        <v>274999.5315933835</v>
      </c>
      <c r="AI31" s="13">
        <f t="shared" si="41"/>
        <v>306784.8867525069</v>
      </c>
      <c r="AJ31" s="13">
        <f t="shared" si="41"/>
        <v>280954.04971030646</v>
      </c>
      <c r="AK31" s="13">
        <f t="shared" si="41"/>
        <v>293542.7079007451</v>
      </c>
      <c r="AL31" s="13">
        <f t="shared" si="41"/>
        <v>307445.16519601876</v>
      </c>
      <c r="AM31" s="13">
        <f t="shared" si="41"/>
        <v>318580.07558830106</v>
      </c>
      <c r="AN31" s="13">
        <f t="shared" si="41"/>
        <v>331290.43917678046</v>
      </c>
      <c r="AO31" s="13">
        <f aca="true" t="shared" si="42" ref="AO31:AU31">AO32+AO38</f>
        <v>346577.05067147175</v>
      </c>
      <c r="AP31" s="13">
        <f t="shared" si="42"/>
        <v>373841.3455967173</v>
      </c>
      <c r="AQ31" s="13">
        <f t="shared" si="42"/>
        <v>389075.89019385556</v>
      </c>
      <c r="AR31" s="13">
        <f t="shared" si="42"/>
        <v>398778.15315295965</v>
      </c>
      <c r="AS31" s="13">
        <f t="shared" si="42"/>
        <v>377169.0927792376</v>
      </c>
      <c r="AT31" s="13">
        <f t="shared" si="42"/>
        <v>380135.23886770604</v>
      </c>
      <c r="AU31" s="13">
        <f t="shared" si="42"/>
        <v>413588.5236838426</v>
      </c>
      <c r="AV31" s="13">
        <f aca="true" t="shared" si="43" ref="AV31:BA31">AV32+AV38</f>
        <v>464322.35159668</v>
      </c>
      <c r="AW31" s="13">
        <f t="shared" si="43"/>
        <v>447151.98697538255</v>
      </c>
      <c r="AX31" s="13">
        <f t="shared" si="43"/>
        <v>461895.1421287597</v>
      </c>
      <c r="AY31" s="13">
        <f t="shared" si="43"/>
        <v>524346.1628998164</v>
      </c>
      <c r="AZ31" s="13">
        <f t="shared" si="43"/>
        <v>542362.5858594755</v>
      </c>
      <c r="BA31" s="13">
        <f t="shared" si="43"/>
        <v>579808.7366990393</v>
      </c>
      <c r="BB31" s="13">
        <f>BB32+BB38</f>
        <v>560522.8101447149</v>
      </c>
      <c r="BC31" s="13">
        <f>BC32+BC38</f>
        <v>599449.9490666448</v>
      </c>
    </row>
    <row r="32" spans="1:55" s="3" customFormat="1" ht="12.75">
      <c r="A32" s="1" t="s">
        <v>11</v>
      </c>
      <c r="B32" s="20">
        <f aca="true" t="shared" si="44" ref="B32:L32">SUM(B33:B36)</f>
        <v>32235.399999999998</v>
      </c>
      <c r="C32" s="20">
        <f t="shared" si="44"/>
        <v>30765.600000000002</v>
      </c>
      <c r="D32" s="20">
        <f t="shared" si="44"/>
        <v>36275.7</v>
      </c>
      <c r="E32" s="20">
        <f t="shared" si="44"/>
        <v>35822.2</v>
      </c>
      <c r="F32" s="20">
        <f t="shared" si="44"/>
        <v>39847.5</v>
      </c>
      <c r="G32" s="20">
        <f t="shared" si="44"/>
        <v>57013.5</v>
      </c>
      <c r="H32" s="20">
        <f t="shared" si="44"/>
        <v>49838.1</v>
      </c>
      <c r="I32" s="20">
        <f t="shared" si="44"/>
        <v>46852.3</v>
      </c>
      <c r="J32" s="20">
        <f t="shared" si="44"/>
        <v>46931</v>
      </c>
      <c r="K32" s="20">
        <f t="shared" si="44"/>
        <v>48475.4</v>
      </c>
      <c r="L32" s="20">
        <f t="shared" si="44"/>
        <v>57092.799999999996</v>
      </c>
      <c r="M32" s="20">
        <f>SUM(M33:M36)</f>
        <v>55686.555436457085</v>
      </c>
      <c r="N32" s="20">
        <v>85218</v>
      </c>
      <c r="O32" s="20">
        <f aca="true" t="shared" si="45" ref="O32:Z32">SUM(O33:O36)</f>
        <v>79295.3</v>
      </c>
      <c r="P32" s="20">
        <f t="shared" si="45"/>
        <v>87332.4</v>
      </c>
      <c r="Q32" s="20">
        <f t="shared" si="45"/>
        <v>88609</v>
      </c>
      <c r="R32" s="20">
        <f t="shared" si="45"/>
        <v>82927.8</v>
      </c>
      <c r="S32" s="20">
        <f t="shared" si="45"/>
        <v>177244.95245896964</v>
      </c>
      <c r="T32" s="20">
        <f t="shared" si="45"/>
        <v>135660.85382278438</v>
      </c>
      <c r="U32" s="20">
        <f t="shared" si="45"/>
        <v>142373.38185852536</v>
      </c>
      <c r="V32" s="20">
        <f t="shared" si="45"/>
        <v>164877.10270503993</v>
      </c>
      <c r="W32" s="20">
        <f t="shared" si="45"/>
        <v>172805.5100348265</v>
      </c>
      <c r="X32" s="20">
        <f t="shared" si="45"/>
        <v>156457.76895031615</v>
      </c>
      <c r="Y32" s="20">
        <f t="shared" si="45"/>
        <v>156591.71178493806</v>
      </c>
      <c r="Z32" s="20">
        <f t="shared" si="45"/>
        <v>163974.2677563255</v>
      </c>
      <c r="AA32" s="20">
        <f aca="true" t="shared" si="46" ref="AA32:AG32">SUM(AA33:AA36)</f>
        <v>153323.65317685102</v>
      </c>
      <c r="AB32" s="20">
        <f t="shared" si="46"/>
        <v>157277.30194958556</v>
      </c>
      <c r="AC32" s="20">
        <f t="shared" si="46"/>
        <v>163993.97529980604</v>
      </c>
      <c r="AD32" s="20">
        <f t="shared" si="46"/>
        <v>160452.08751584965</v>
      </c>
      <c r="AE32" s="20">
        <f t="shared" si="46"/>
        <v>162697.42710925304</v>
      </c>
      <c r="AF32" s="20">
        <f t="shared" si="46"/>
        <v>159598.0833139792</v>
      </c>
      <c r="AG32" s="20">
        <f t="shared" si="46"/>
        <v>173912.09184821846</v>
      </c>
      <c r="AH32" s="20">
        <f aca="true" t="shared" si="47" ref="AH32:AN32">SUM(AH33:AH36)</f>
        <v>170009.2613062404</v>
      </c>
      <c r="AI32" s="20">
        <f t="shared" si="47"/>
        <v>191432.15639187684</v>
      </c>
      <c r="AJ32" s="20">
        <f t="shared" si="47"/>
        <v>166233.398958731</v>
      </c>
      <c r="AK32" s="20">
        <f t="shared" si="47"/>
        <v>169087.27911460903</v>
      </c>
      <c r="AL32" s="20">
        <f t="shared" si="47"/>
        <v>160633.25614053608</v>
      </c>
      <c r="AM32" s="20">
        <f t="shared" si="47"/>
        <v>172062.05934676016</v>
      </c>
      <c r="AN32" s="20">
        <f t="shared" si="47"/>
        <v>179209.43010250182</v>
      </c>
      <c r="AO32" s="20">
        <f aca="true" t="shared" si="48" ref="AO32:AU32">SUM(AO33:AO36)</f>
        <v>178726.2673261482</v>
      </c>
      <c r="AP32" s="20">
        <f t="shared" si="48"/>
        <v>203779.75787888962</v>
      </c>
      <c r="AQ32" s="20">
        <f t="shared" si="48"/>
        <v>227210.37254985768</v>
      </c>
      <c r="AR32" s="20">
        <f t="shared" si="48"/>
        <v>226317.72550005978</v>
      </c>
      <c r="AS32" s="20">
        <f t="shared" si="48"/>
        <v>227286.20799734967</v>
      </c>
      <c r="AT32" s="20">
        <f t="shared" si="48"/>
        <v>238974.98931684927</v>
      </c>
      <c r="AU32" s="20">
        <f t="shared" si="48"/>
        <v>263726.92792323057</v>
      </c>
      <c r="AV32" s="20">
        <f aca="true" t="shared" si="49" ref="AV32:BA32">SUM(AV33:AV36)</f>
        <v>314337.2431982789</v>
      </c>
      <c r="AW32" s="20">
        <f t="shared" si="49"/>
        <v>326062.4148332906</v>
      </c>
      <c r="AX32" s="20">
        <f t="shared" si="49"/>
        <v>314852.7845641948</v>
      </c>
      <c r="AY32" s="20">
        <f t="shared" si="49"/>
        <v>363122.0991702329</v>
      </c>
      <c r="AZ32" s="20">
        <f t="shared" si="49"/>
        <v>348704.9994796668</v>
      </c>
      <c r="BA32" s="20">
        <f t="shared" si="49"/>
        <v>361635.3355928207</v>
      </c>
      <c r="BB32" s="20">
        <f>SUM(BB33:BB36)</f>
        <v>354477.11851779144</v>
      </c>
      <c r="BC32" s="20">
        <f>SUM(BC33:BC36)</f>
        <v>393882.61521444644</v>
      </c>
    </row>
    <row r="33" spans="1:55" s="3" customFormat="1" ht="12.75">
      <c r="A33" s="4" t="s">
        <v>20</v>
      </c>
      <c r="B33" s="5"/>
      <c r="C33" s="19"/>
      <c r="D33" s="19"/>
      <c r="E33" s="19"/>
      <c r="F33" s="5"/>
      <c r="G33" s="5"/>
      <c r="H33" s="19"/>
      <c r="I33" s="19"/>
      <c r="J33" s="19"/>
      <c r="K33" s="5"/>
      <c r="L33" s="14"/>
      <c r="M33" s="14"/>
      <c r="N33" s="14"/>
      <c r="O33" s="19"/>
      <c r="P33" s="5"/>
      <c r="Q33" s="5"/>
      <c r="R33" s="5"/>
      <c r="S33" s="5">
        <v>413.5317471068074</v>
      </c>
      <c r="T33" s="5">
        <v>431.11255217362435</v>
      </c>
      <c r="U33" s="5">
        <v>443.1415482125178</v>
      </c>
      <c r="V33" s="5">
        <v>427.903740147378</v>
      </c>
      <c r="W33" s="5">
        <v>468.7511193864569</v>
      </c>
      <c r="X33" s="5">
        <v>449.76073744510705</v>
      </c>
      <c r="Y33" s="5">
        <v>452.6703588470941</v>
      </c>
      <c r="Z33" s="5">
        <v>451.9880535411534</v>
      </c>
      <c r="AA33" s="5">
        <v>450.43415008367566</v>
      </c>
      <c r="AB33" s="5">
        <v>452.75574227773126</v>
      </c>
      <c r="AC33" s="5">
        <v>454.6098527478683</v>
      </c>
      <c r="AD33" s="5">
        <v>452.25482109271337</v>
      </c>
      <c r="AE33" s="5">
        <v>448.54964696093543</v>
      </c>
      <c r="AF33" s="5">
        <v>440.9921845262747</v>
      </c>
      <c r="AG33" s="5">
        <v>434.5212598571856</v>
      </c>
      <c r="AH33" s="5">
        <v>440.8961140549966</v>
      </c>
      <c r="AI33" s="5">
        <v>435.9595666862181</v>
      </c>
      <c r="AJ33" s="5">
        <v>445.31538098792157</v>
      </c>
      <c r="AK33" s="5">
        <v>440.21727625260803</v>
      </c>
      <c r="AL33" s="5">
        <v>0.09882088</v>
      </c>
      <c r="AM33" s="5"/>
      <c r="AN33" s="5"/>
      <c r="AO33" s="5"/>
      <c r="AP33" s="5"/>
      <c r="AQ33" s="5">
        <v>0</v>
      </c>
      <c r="AR33" s="5">
        <v>390.03186833999996</v>
      </c>
      <c r="AS33" s="5">
        <v>363.33253274000003</v>
      </c>
      <c r="AT33" s="5">
        <v>1.09338948</v>
      </c>
      <c r="AU33" s="5">
        <v>17.34583785</v>
      </c>
      <c r="AV33" s="5">
        <v>30.95938785</v>
      </c>
      <c r="AW33" s="5">
        <v>29.28508294</v>
      </c>
      <c r="AX33" s="5">
        <v>19.882983120000002</v>
      </c>
      <c r="AY33" s="5">
        <v>0.041266370000000004</v>
      </c>
      <c r="AZ33" s="5">
        <v>58.48643147</v>
      </c>
      <c r="BA33" s="5">
        <v>118.32847541</v>
      </c>
      <c r="BB33" s="5">
        <v>103.46380453</v>
      </c>
      <c r="BC33" s="5">
        <v>43.32523758000001</v>
      </c>
    </row>
    <row r="34" spans="1:55" s="3" customFormat="1" ht="12.75">
      <c r="A34" s="4" t="s">
        <v>21</v>
      </c>
      <c r="B34" s="5"/>
      <c r="C34" s="19"/>
      <c r="D34" s="19"/>
      <c r="E34" s="19"/>
      <c r="F34" s="5"/>
      <c r="G34" s="5"/>
      <c r="H34" s="19"/>
      <c r="I34" s="19"/>
      <c r="J34" s="19"/>
      <c r="K34" s="5"/>
      <c r="L34" s="14"/>
      <c r="M34" s="14"/>
      <c r="N34" s="14"/>
      <c r="O34" s="19"/>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s="3" customFormat="1" ht="12.75">
      <c r="A35" s="4" t="s">
        <v>22</v>
      </c>
      <c r="B35" s="19">
        <v>28802.3</v>
      </c>
      <c r="C35" s="19">
        <v>26877.7</v>
      </c>
      <c r="D35" s="19">
        <v>27928.3</v>
      </c>
      <c r="E35" s="19">
        <v>30409.3</v>
      </c>
      <c r="F35" s="19">
        <v>29636.6</v>
      </c>
      <c r="G35" s="19">
        <v>36808.3</v>
      </c>
      <c r="H35" s="19">
        <v>36997.1</v>
      </c>
      <c r="I35" s="19">
        <v>34922</v>
      </c>
      <c r="J35" s="19">
        <v>31689.3</v>
      </c>
      <c r="K35" s="19">
        <v>34932.9</v>
      </c>
      <c r="L35" s="19">
        <v>37744.2</v>
      </c>
      <c r="M35" s="19">
        <v>43360.38360238723</v>
      </c>
      <c r="N35" s="19">
        <v>65221.5</v>
      </c>
      <c r="O35" s="19">
        <v>62087.1</v>
      </c>
      <c r="P35" s="19">
        <v>72694.5</v>
      </c>
      <c r="Q35" s="19">
        <v>74086.5</v>
      </c>
      <c r="R35" s="19">
        <v>78209.8</v>
      </c>
      <c r="S35" s="19">
        <v>171510.26349686368</v>
      </c>
      <c r="T35" s="19">
        <v>130063.32046098405</v>
      </c>
      <c r="U35" s="19">
        <v>134381.86640796182</v>
      </c>
      <c r="V35" s="19">
        <v>157632.4982193397</v>
      </c>
      <c r="W35" s="19">
        <v>164327.77460228655</v>
      </c>
      <c r="X35" s="19">
        <v>147895.8182376792</v>
      </c>
      <c r="Y35" s="19">
        <v>148032.10274254082</v>
      </c>
      <c r="Z35" s="19">
        <v>156481.68621165867</v>
      </c>
      <c r="AA35" s="19">
        <v>143578.94442790098</v>
      </c>
      <c r="AB35" s="19">
        <v>148952.98614060672</v>
      </c>
      <c r="AC35" s="19">
        <v>154744.6292383464</v>
      </c>
      <c r="AD35" s="19">
        <v>150423.2992714438</v>
      </c>
      <c r="AE35" s="19">
        <v>150333.30494808542</v>
      </c>
      <c r="AF35" s="19">
        <v>147986.5468397179</v>
      </c>
      <c r="AG35" s="19">
        <v>164486.16856956278</v>
      </c>
      <c r="AH35" s="19">
        <v>159934.6031076593</v>
      </c>
      <c r="AI35" s="19">
        <v>179538.38464627074</v>
      </c>
      <c r="AJ35" s="19">
        <v>156032.93289780192</v>
      </c>
      <c r="AK35" s="19">
        <v>152590.85050867163</v>
      </c>
      <c r="AL35" s="19">
        <v>154407.47221142857</v>
      </c>
      <c r="AM35" s="19">
        <v>165720.468671216</v>
      </c>
      <c r="AN35" s="19">
        <v>173651.70794791082</v>
      </c>
      <c r="AO35" s="19">
        <v>172524.82793538042</v>
      </c>
      <c r="AP35" s="19">
        <v>199420.022538775</v>
      </c>
      <c r="AQ35" s="19">
        <v>223731.89893454584</v>
      </c>
      <c r="AR35" s="19">
        <v>220692.13824356187</v>
      </c>
      <c r="AS35" s="19">
        <v>213979.6980095291</v>
      </c>
      <c r="AT35" s="19">
        <v>234947.00850423664</v>
      </c>
      <c r="AU35" s="19">
        <v>255918.7319176183</v>
      </c>
      <c r="AV35" s="19">
        <v>308955.27512481494</v>
      </c>
      <c r="AW35" s="19">
        <v>319404.6182738103</v>
      </c>
      <c r="AX35" s="19">
        <v>310053.313526631</v>
      </c>
      <c r="AY35" s="19">
        <v>357796.9207644549</v>
      </c>
      <c r="AZ35" s="19">
        <v>340865.93679822533</v>
      </c>
      <c r="BA35" s="19">
        <v>343290.0859036742</v>
      </c>
      <c r="BB35" s="19">
        <v>346933.53882753296</v>
      </c>
      <c r="BC35" s="19">
        <v>383733.13946818945</v>
      </c>
    </row>
    <row r="36" spans="1:55" s="3" customFormat="1" ht="12.75">
      <c r="A36" s="4" t="s">
        <v>34</v>
      </c>
      <c r="B36" s="19">
        <v>3433.1</v>
      </c>
      <c r="C36" s="19">
        <v>3887.9</v>
      </c>
      <c r="D36" s="19">
        <v>8347.4</v>
      </c>
      <c r="E36" s="19">
        <v>5412.9</v>
      </c>
      <c r="F36" s="19">
        <v>10210.9</v>
      </c>
      <c r="G36" s="19">
        <v>20205.2</v>
      </c>
      <c r="H36" s="19">
        <v>12841</v>
      </c>
      <c r="I36" s="19">
        <v>11930.3</v>
      </c>
      <c r="J36" s="19">
        <v>15241.7</v>
      </c>
      <c r="K36" s="19">
        <v>13542.5</v>
      </c>
      <c r="L36" s="19">
        <v>19348.6</v>
      </c>
      <c r="M36" s="19">
        <v>12326.171834069859</v>
      </c>
      <c r="N36" s="19">
        <v>19996</v>
      </c>
      <c r="O36" s="19">
        <v>17208.2</v>
      </c>
      <c r="P36" s="19">
        <v>14637.9</v>
      </c>
      <c r="Q36" s="19">
        <v>14522.5</v>
      </c>
      <c r="R36" s="19">
        <v>4718</v>
      </c>
      <c r="S36" s="19">
        <v>5321.157214999152</v>
      </c>
      <c r="T36" s="19">
        <v>5166.420809626705</v>
      </c>
      <c r="U36" s="19">
        <v>7548.373902351001</v>
      </c>
      <c r="V36" s="19">
        <v>6816.700745552849</v>
      </c>
      <c r="W36" s="19">
        <v>8008.984313153489</v>
      </c>
      <c r="X36" s="19">
        <v>8112.1899751918445</v>
      </c>
      <c r="Y36" s="19">
        <v>8106.93868355013</v>
      </c>
      <c r="Z36" s="19">
        <v>7040.593491125669</v>
      </c>
      <c r="AA36" s="19">
        <v>9294.274598866352</v>
      </c>
      <c r="AB36" s="19">
        <v>7871.560066701122</v>
      </c>
      <c r="AC36" s="19">
        <v>8794.736208711767</v>
      </c>
      <c r="AD36" s="19">
        <v>9576.533423313142</v>
      </c>
      <c r="AE36" s="19">
        <v>11915.572514206673</v>
      </c>
      <c r="AF36" s="19">
        <v>11170.54428973504</v>
      </c>
      <c r="AG36" s="19">
        <v>8991.402018798472</v>
      </c>
      <c r="AH36" s="19">
        <v>9633.762084526083</v>
      </c>
      <c r="AI36" s="19">
        <v>11457.812178919867</v>
      </c>
      <c r="AJ36" s="19">
        <v>9755.150679941162</v>
      </c>
      <c r="AK36" s="19">
        <v>16056.211329684795</v>
      </c>
      <c r="AL36" s="19">
        <v>6225.685108227508</v>
      </c>
      <c r="AM36" s="19">
        <v>6341.590675544169</v>
      </c>
      <c r="AN36" s="19">
        <v>5557.722154590991</v>
      </c>
      <c r="AO36" s="19">
        <v>6201.43939076776</v>
      </c>
      <c r="AP36" s="19">
        <v>4359.735340114616</v>
      </c>
      <c r="AQ36" s="19">
        <v>3478.473615311838</v>
      </c>
      <c r="AR36" s="19">
        <v>5235.555388157892</v>
      </c>
      <c r="AS36" s="19">
        <v>12943.177455080579</v>
      </c>
      <c r="AT36" s="19">
        <v>4026.8874231326304</v>
      </c>
      <c r="AU36" s="19">
        <v>7790.850167762253</v>
      </c>
      <c r="AV36" s="19">
        <v>5351.0086856139405</v>
      </c>
      <c r="AW36" s="19">
        <v>6628.51147654032</v>
      </c>
      <c r="AX36" s="19">
        <v>4779.58805444384</v>
      </c>
      <c r="AY36" s="19">
        <v>5325.137139408035</v>
      </c>
      <c r="AZ36" s="19">
        <v>7780.576249971481</v>
      </c>
      <c r="BA36" s="19">
        <v>18226.92121373655</v>
      </c>
      <c r="BB36" s="19">
        <v>7440.115885728515</v>
      </c>
      <c r="BC36" s="19">
        <v>10106.150508677021</v>
      </c>
    </row>
    <row r="37" spans="1:55" s="3" customFormat="1" ht="12.75">
      <c r="A37" s="4"/>
      <c r="B37" s="5"/>
      <c r="C37" s="19"/>
      <c r="D37" s="19"/>
      <c r="E37" s="19"/>
      <c r="F37" s="5"/>
      <c r="G37" s="5"/>
      <c r="H37" s="19"/>
      <c r="I37" s="19"/>
      <c r="J37" s="19"/>
      <c r="K37" s="5"/>
      <c r="L37" s="14"/>
      <c r="M37" s="14"/>
      <c r="N37" s="14"/>
      <c r="O37" s="19"/>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1:55" s="3" customFormat="1" ht="12.75">
      <c r="A38" s="1" t="s">
        <v>7</v>
      </c>
      <c r="B38" s="19">
        <f aca="true" t="shared" si="50" ref="B38:L38">SUM(B39:B42)</f>
        <v>142402.5</v>
      </c>
      <c r="C38" s="19">
        <f t="shared" si="50"/>
        <v>137941.2</v>
      </c>
      <c r="D38" s="19">
        <f t="shared" si="50"/>
        <v>160639.5</v>
      </c>
      <c r="E38" s="19">
        <f t="shared" si="50"/>
        <v>162705.90000000002</v>
      </c>
      <c r="F38" s="19">
        <f t="shared" si="50"/>
        <v>148649.8</v>
      </c>
      <c r="G38" s="19">
        <f t="shared" si="50"/>
        <v>137153.9</v>
      </c>
      <c r="H38" s="19">
        <f t="shared" si="50"/>
        <v>140548.5</v>
      </c>
      <c r="I38" s="19">
        <f t="shared" si="50"/>
        <v>166286.8</v>
      </c>
      <c r="J38" s="19">
        <f t="shared" si="50"/>
        <v>171461.2</v>
      </c>
      <c r="K38" s="19">
        <f t="shared" si="50"/>
        <v>172122.3</v>
      </c>
      <c r="L38" s="19">
        <f t="shared" si="50"/>
        <v>191064.4</v>
      </c>
      <c r="M38" s="19">
        <f aca="true" t="shared" si="51" ref="M38:Z38">SUM(M39:M42)</f>
        <v>178966.00452210603</v>
      </c>
      <c r="N38" s="19">
        <f t="shared" si="51"/>
        <v>161806.4</v>
      </c>
      <c r="O38" s="19">
        <f t="shared" si="51"/>
        <v>181534</v>
      </c>
      <c r="P38" s="19">
        <f t="shared" si="51"/>
        <v>194502.4</v>
      </c>
      <c r="Q38" s="19">
        <f t="shared" si="51"/>
        <v>193765.59999999998</v>
      </c>
      <c r="R38" s="19">
        <f t="shared" si="51"/>
        <v>201601.9</v>
      </c>
      <c r="S38" s="19">
        <f t="shared" si="51"/>
        <v>129096.53343542617</v>
      </c>
      <c r="T38" s="19">
        <f t="shared" si="51"/>
        <v>141773.91214162434</v>
      </c>
      <c r="U38" s="19">
        <f t="shared" si="51"/>
        <v>160759.58358629962</v>
      </c>
      <c r="V38" s="19">
        <f t="shared" si="51"/>
        <v>161122.4761510991</v>
      </c>
      <c r="W38" s="19">
        <f t="shared" si="51"/>
        <v>157480.7960778296</v>
      </c>
      <c r="X38" s="19">
        <f t="shared" si="51"/>
        <v>132548.2345159011</v>
      </c>
      <c r="Y38" s="19">
        <f t="shared" si="51"/>
        <v>126305.26702049468</v>
      </c>
      <c r="Z38" s="19">
        <f t="shared" si="51"/>
        <v>117415.16691426704</v>
      </c>
      <c r="AA38" s="19">
        <f aca="true" t="shared" si="52" ref="AA38:AG38">SUM(AA39:AA42)</f>
        <v>142298.15895189976</v>
      </c>
      <c r="AB38" s="19">
        <f t="shared" si="52"/>
        <v>133985.98993092988</v>
      </c>
      <c r="AC38" s="19">
        <f t="shared" si="52"/>
        <v>116686.80144375598</v>
      </c>
      <c r="AD38" s="19">
        <f t="shared" si="52"/>
        <v>131013.49935864416</v>
      </c>
      <c r="AE38" s="19">
        <f t="shared" si="52"/>
        <v>132868.67720307148</v>
      </c>
      <c r="AF38" s="19">
        <f t="shared" si="52"/>
        <v>119251.4657781431</v>
      </c>
      <c r="AG38" s="19">
        <f t="shared" si="52"/>
        <v>101465.07254322343</v>
      </c>
      <c r="AH38" s="19">
        <f aca="true" t="shared" si="53" ref="AH38:AN38">SUM(AH39:AH42)</f>
        <v>104990.27028714312</v>
      </c>
      <c r="AI38" s="19">
        <f t="shared" si="53"/>
        <v>115352.73036063006</v>
      </c>
      <c r="AJ38" s="19">
        <f t="shared" si="53"/>
        <v>114720.65075157542</v>
      </c>
      <c r="AK38" s="19">
        <f t="shared" si="53"/>
        <v>124455.42878613608</v>
      </c>
      <c r="AL38" s="19">
        <f t="shared" si="53"/>
        <v>146811.90905548265</v>
      </c>
      <c r="AM38" s="19">
        <f t="shared" si="53"/>
        <v>146518.01624154087</v>
      </c>
      <c r="AN38" s="19">
        <f t="shared" si="53"/>
        <v>152081.00907427864</v>
      </c>
      <c r="AO38" s="19">
        <f aca="true" t="shared" si="54" ref="AO38:AU38">SUM(AO39:AO42)</f>
        <v>167850.78334532352</v>
      </c>
      <c r="AP38" s="19">
        <f t="shared" si="54"/>
        <v>170061.58771782773</v>
      </c>
      <c r="AQ38" s="19">
        <f t="shared" si="54"/>
        <v>161865.51764399788</v>
      </c>
      <c r="AR38" s="19">
        <f t="shared" si="54"/>
        <v>172460.42765289987</v>
      </c>
      <c r="AS38" s="19">
        <f t="shared" si="54"/>
        <v>149882.88478188793</v>
      </c>
      <c r="AT38" s="19">
        <f t="shared" si="54"/>
        <v>141160.2495508568</v>
      </c>
      <c r="AU38" s="19">
        <f t="shared" si="54"/>
        <v>149861.59576061208</v>
      </c>
      <c r="AV38" s="19">
        <f aca="true" t="shared" si="55" ref="AV38:BA38">SUM(AV39:AV42)</f>
        <v>149985.10839840112</v>
      </c>
      <c r="AW38" s="19">
        <f t="shared" si="55"/>
        <v>121089.57214209193</v>
      </c>
      <c r="AX38" s="19">
        <f t="shared" si="55"/>
        <v>147042.3575645649</v>
      </c>
      <c r="AY38" s="19">
        <f t="shared" si="55"/>
        <v>161224.06372958358</v>
      </c>
      <c r="AZ38" s="19">
        <f t="shared" si="55"/>
        <v>193657.58637980875</v>
      </c>
      <c r="BA38" s="19">
        <f t="shared" si="55"/>
        <v>218173.40110621857</v>
      </c>
      <c r="BB38" s="19">
        <f>SUM(BB39:BB42)</f>
        <v>206045.69162692345</v>
      </c>
      <c r="BC38" s="19">
        <f>SUM(BC39:BC42)</f>
        <v>205567.33385219827</v>
      </c>
    </row>
    <row r="39" spans="1:55" s="3" customFormat="1" ht="12.75">
      <c r="A39" s="4" t="s">
        <v>23</v>
      </c>
      <c r="B39" s="19">
        <v>172</v>
      </c>
      <c r="C39" s="19">
        <v>0</v>
      </c>
      <c r="D39" s="19">
        <v>0</v>
      </c>
      <c r="E39" s="19">
        <v>0</v>
      </c>
      <c r="F39" s="19">
        <v>239</v>
      </c>
      <c r="G39" s="19">
        <v>0</v>
      </c>
      <c r="H39" s="19">
        <v>265.8</v>
      </c>
      <c r="I39" s="19">
        <v>5689</v>
      </c>
      <c r="J39" s="19">
        <v>6507.4</v>
      </c>
      <c r="K39" s="19">
        <v>6634.5</v>
      </c>
      <c r="L39" s="19">
        <v>6968.4</v>
      </c>
      <c r="M39" s="19">
        <v>6798.589032288299</v>
      </c>
      <c r="N39" s="19">
        <v>6886.9</v>
      </c>
      <c r="O39" s="19">
        <v>7009.8</v>
      </c>
      <c r="P39" s="19">
        <v>8258.4</v>
      </c>
      <c r="Q39" s="19">
        <v>8353.8</v>
      </c>
      <c r="R39" s="19">
        <v>8216.5</v>
      </c>
      <c r="S39" s="19">
        <v>7857.103195029341</v>
      </c>
      <c r="T39" s="19">
        <v>8191.1384912988615</v>
      </c>
      <c r="U39" s="19">
        <v>8419.689416037838</v>
      </c>
      <c r="V39" s="19">
        <v>8130.171062800181</v>
      </c>
      <c r="W39" s="19">
        <v>8906.27126834268</v>
      </c>
      <c r="X39" s="19">
        <v>8545.454011457034</v>
      </c>
      <c r="Y39" s="19">
        <v>8600.736818094789</v>
      </c>
      <c r="Z39" s="19">
        <v>8587.773017281914</v>
      </c>
      <c r="AA39" s="19">
        <v>8558.248851589837</v>
      </c>
      <c r="AB39" s="19">
        <v>8602.359103276893</v>
      </c>
      <c r="AC39" s="19">
        <v>8637.587202209497</v>
      </c>
      <c r="AD39" s="19">
        <v>8592.841600761552</v>
      </c>
      <c r="AE39" s="19">
        <v>8522.443292257773</v>
      </c>
      <c r="AF39" s="19">
        <v>8378.851505999219</v>
      </c>
      <c r="AG39" s="19">
        <v>8255.903937286526</v>
      </c>
      <c r="AH39" s="19">
        <v>8377.026167044934</v>
      </c>
      <c r="AI39" s="19">
        <v>8283.231767038144</v>
      </c>
      <c r="AJ39" s="19">
        <v>8460.992238770508</v>
      </c>
      <c r="AK39" s="19">
        <v>8364.128248799552</v>
      </c>
      <c r="AL39" s="19">
        <v>8697.63900465084</v>
      </c>
      <c r="AM39" s="19">
        <v>12840.596252694504</v>
      </c>
      <c r="AN39" s="19">
        <v>13170.244143004977</v>
      </c>
      <c r="AO39" s="19">
        <v>13273.497173441923</v>
      </c>
      <c r="AP39" s="19">
        <v>14982.715862470468</v>
      </c>
      <c r="AQ39" s="19">
        <v>14141.005382513298</v>
      </c>
      <c r="AR39" s="19">
        <v>14549.883986442283</v>
      </c>
      <c r="AS39" s="19">
        <v>14362.82247765178</v>
      </c>
      <c r="AT39" s="19">
        <v>14216.207487801037</v>
      </c>
      <c r="AU39" s="19">
        <v>14247.410658874824</v>
      </c>
      <c r="AV39" s="19">
        <v>14891.004178441859</v>
      </c>
      <c r="AW39" s="19">
        <v>14579.885815729187</v>
      </c>
      <c r="AX39" s="19">
        <v>14605.057456509905</v>
      </c>
      <c r="AY39" s="19">
        <v>14626.23734634251</v>
      </c>
      <c r="AZ39" s="19">
        <v>14549.67105827182</v>
      </c>
      <c r="BA39" s="19">
        <v>13983.383103976728</v>
      </c>
      <c r="BB39" s="19">
        <v>14178.83780894391</v>
      </c>
      <c r="BC39" s="19">
        <v>20934.748691089575</v>
      </c>
    </row>
    <row r="40" spans="1:55" s="3" customFormat="1" ht="12.75">
      <c r="A40" s="4" t="s">
        <v>17</v>
      </c>
      <c r="B40" s="19">
        <v>91208.2</v>
      </c>
      <c r="C40" s="19">
        <v>90598.2</v>
      </c>
      <c r="D40" s="19">
        <v>109559.9</v>
      </c>
      <c r="E40" s="19">
        <v>111339.1</v>
      </c>
      <c r="F40" s="19">
        <v>100295.7</v>
      </c>
      <c r="G40" s="19">
        <v>92845.7</v>
      </c>
      <c r="H40" s="19">
        <v>95858.4</v>
      </c>
      <c r="I40" s="19">
        <v>115984.9</v>
      </c>
      <c r="J40" s="19">
        <v>122206.1</v>
      </c>
      <c r="K40" s="19">
        <v>113764.1</v>
      </c>
      <c r="L40" s="19">
        <v>120273.1</v>
      </c>
      <c r="M40" s="19">
        <v>120094.10140694842</v>
      </c>
      <c r="N40" s="19">
        <v>101920</v>
      </c>
      <c r="O40" s="19">
        <v>88646.4</v>
      </c>
      <c r="P40" s="19">
        <v>105600.5</v>
      </c>
      <c r="Q40" s="19">
        <v>99574.9</v>
      </c>
      <c r="R40" s="19">
        <v>97304.7</v>
      </c>
      <c r="S40" s="19">
        <v>112212.57426687768</v>
      </c>
      <c r="T40" s="19">
        <v>126737.3357313263</v>
      </c>
      <c r="U40" s="19">
        <v>145267.1643593164</v>
      </c>
      <c r="V40" s="19">
        <v>144695.8578135968</v>
      </c>
      <c r="W40" s="19">
        <v>139925.69456726132</v>
      </c>
      <c r="X40" s="19">
        <v>116218.79007088198</v>
      </c>
      <c r="Y40" s="19">
        <v>109913.3669001609</v>
      </c>
      <c r="Z40" s="19">
        <v>100591.51567531886</v>
      </c>
      <c r="AA40" s="19">
        <v>126183.123551473</v>
      </c>
      <c r="AB40" s="19">
        <v>117543.99997814736</v>
      </c>
      <c r="AC40" s="19">
        <v>99904.76007110717</v>
      </c>
      <c r="AD40" s="19">
        <v>114503.64200675396</v>
      </c>
      <c r="AE40" s="19">
        <v>116433.95470301974</v>
      </c>
      <c r="AF40" s="19">
        <v>103083.84864900082</v>
      </c>
      <c r="AG40" s="19">
        <v>84552.0018391178</v>
      </c>
      <c r="AH40" s="19">
        <v>88195.63343022138</v>
      </c>
      <c r="AI40" s="19">
        <v>97620.10992799871</v>
      </c>
      <c r="AJ40" s="19">
        <v>98047.3988866048</v>
      </c>
      <c r="AK40" s="19">
        <v>108060.20314214329</v>
      </c>
      <c r="AL40" s="19">
        <v>117181.70364124158</v>
      </c>
      <c r="AM40" s="19">
        <v>114425.00817240847</v>
      </c>
      <c r="AN40" s="19">
        <v>117623.40704477117</v>
      </c>
      <c r="AO40" s="19">
        <v>128609.03515424748</v>
      </c>
      <c r="AP40" s="19">
        <v>128945.72366790938</v>
      </c>
      <c r="AQ40" s="19">
        <v>123178.14209148556</v>
      </c>
      <c r="AR40" s="19">
        <v>134356.21516425879</v>
      </c>
      <c r="AS40" s="19">
        <v>112160.65732255968</v>
      </c>
      <c r="AT40" s="19">
        <v>107783.65112002588</v>
      </c>
      <c r="AU40" s="19">
        <v>117660.48605633459</v>
      </c>
      <c r="AV40" s="19">
        <v>116989.41049815022</v>
      </c>
      <c r="AW40" s="19">
        <v>89240.9595716679</v>
      </c>
      <c r="AX40" s="19">
        <v>115771.32110548479</v>
      </c>
      <c r="AY40" s="19">
        <v>125051.64800931567</v>
      </c>
      <c r="AZ40" s="19">
        <v>157120.96291875772</v>
      </c>
      <c r="BA40" s="19">
        <v>179800.54548973474</v>
      </c>
      <c r="BB40" s="19">
        <v>167082.66294344087</v>
      </c>
      <c r="BC40" s="19">
        <v>157774.62367278567</v>
      </c>
    </row>
    <row r="41" spans="1:55" s="3" customFormat="1" ht="12.75">
      <c r="A41" s="4" t="s">
        <v>18</v>
      </c>
      <c r="B41" s="19">
        <v>51022.3</v>
      </c>
      <c r="C41" s="19">
        <v>47343</v>
      </c>
      <c r="D41" s="19">
        <v>51079.6</v>
      </c>
      <c r="E41" s="19">
        <v>51366.8</v>
      </c>
      <c r="F41" s="19">
        <v>48115.1</v>
      </c>
      <c r="G41" s="19">
        <v>44308.2</v>
      </c>
      <c r="H41" s="19">
        <v>44424.3</v>
      </c>
      <c r="I41" s="19">
        <v>44612.9</v>
      </c>
      <c r="J41" s="19">
        <v>42747.7</v>
      </c>
      <c r="K41" s="19">
        <v>51723.7</v>
      </c>
      <c r="L41" s="19">
        <v>63822.9</v>
      </c>
      <c r="M41" s="19">
        <v>52073.314082869314</v>
      </c>
      <c r="N41" s="19">
        <v>52999.5</v>
      </c>
      <c r="O41" s="19">
        <v>85877.8</v>
      </c>
      <c r="P41" s="19">
        <v>80643.5</v>
      </c>
      <c r="Q41" s="19">
        <v>85836.9</v>
      </c>
      <c r="R41" s="19">
        <v>96080.7</v>
      </c>
      <c r="S41" s="19">
        <v>9026.855973519152</v>
      </c>
      <c r="T41" s="19">
        <v>6845.437918999174</v>
      </c>
      <c r="U41" s="19">
        <v>7072.7298109453695</v>
      </c>
      <c r="V41" s="19">
        <v>8296.447274702106</v>
      </c>
      <c r="W41" s="19">
        <v>8648.83024222561</v>
      </c>
      <c r="X41" s="19">
        <v>7783.990433562081</v>
      </c>
      <c r="Y41" s="19">
        <v>7791.1633022390015</v>
      </c>
      <c r="Z41" s="19">
        <v>8235.878221666266</v>
      </c>
      <c r="AA41" s="19">
        <v>7556.786548836913</v>
      </c>
      <c r="AB41" s="19">
        <v>7839.630849505629</v>
      </c>
      <c r="AC41" s="19">
        <v>8144.454170439305</v>
      </c>
      <c r="AD41" s="19">
        <v>7917.015751128638</v>
      </c>
      <c r="AE41" s="19">
        <v>7912.279207793967</v>
      </c>
      <c r="AF41" s="19">
        <v>7788.765623143059</v>
      </c>
      <c r="AG41" s="19">
        <v>8657.166766819108</v>
      </c>
      <c r="AH41" s="19">
        <v>8417.610689876805</v>
      </c>
      <c r="AI41" s="19">
        <v>9449.3886655932</v>
      </c>
      <c r="AJ41" s="19">
        <v>8212.259626200103</v>
      </c>
      <c r="AK41" s="19">
        <v>8031.097395193239</v>
      </c>
      <c r="AL41" s="19">
        <v>20932.566409590225</v>
      </c>
      <c r="AM41" s="19">
        <v>19252.411816437878</v>
      </c>
      <c r="AN41" s="19">
        <v>21287.35788650249</v>
      </c>
      <c r="AO41" s="19">
        <v>25968.251017634124</v>
      </c>
      <c r="AP41" s="19">
        <v>26133.1481874479</v>
      </c>
      <c r="AQ41" s="19">
        <v>24546.370169999023</v>
      </c>
      <c r="AR41" s="19">
        <v>23554.328502198794</v>
      </c>
      <c r="AS41" s="19">
        <v>23359.40498167649</v>
      </c>
      <c r="AT41" s="19">
        <v>19160.390943029885</v>
      </c>
      <c r="AU41" s="19">
        <v>17953.69904540267</v>
      </c>
      <c r="AV41" s="19">
        <v>18104.693721809042</v>
      </c>
      <c r="AW41" s="19">
        <v>17268.726754694842</v>
      </c>
      <c r="AX41" s="19">
        <v>16665.97900257022</v>
      </c>
      <c r="AY41" s="19">
        <v>21546.17837392539</v>
      </c>
      <c r="AZ41" s="19">
        <v>21986.952402779214</v>
      </c>
      <c r="BA41" s="19">
        <v>24389.4725125071</v>
      </c>
      <c r="BB41" s="19">
        <v>24784.19087453869</v>
      </c>
      <c r="BC41" s="19">
        <v>26857.961488323035</v>
      </c>
    </row>
    <row r="42" spans="1:55" s="3" customFormat="1" ht="12.75">
      <c r="A42" s="4" t="s">
        <v>24</v>
      </c>
      <c r="B42" s="5"/>
      <c r="C42" s="19"/>
      <c r="D42" s="19"/>
      <c r="E42" s="19"/>
      <c r="F42" s="5"/>
      <c r="G42" s="5"/>
      <c r="H42" s="19"/>
      <c r="I42" s="19"/>
      <c r="J42" s="19"/>
      <c r="K42" s="5"/>
      <c r="L42" s="14"/>
      <c r="M42" s="14"/>
      <c r="N42" s="14"/>
      <c r="O42" s="19"/>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s="3" customFormat="1" ht="12.75">
      <c r="A43" s="4"/>
      <c r="B43" s="5"/>
      <c r="C43" s="5"/>
      <c r="D43" s="5"/>
      <c r="E43" s="5"/>
      <c r="F43" s="5"/>
      <c r="G43" s="5"/>
      <c r="H43" s="5"/>
      <c r="I43" s="5"/>
      <c r="J43" s="5"/>
      <c r="K43" s="5"/>
      <c r="L43" s="14"/>
      <c r="M43" s="14"/>
      <c r="N43" s="14"/>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s="3" customFormat="1" ht="12.75">
      <c r="A44" s="13" t="s">
        <v>46</v>
      </c>
      <c r="B44" s="13">
        <f aca="true" t="shared" si="56" ref="B44:N44">B45+B52</f>
        <v>4197716</v>
      </c>
      <c r="C44" s="13">
        <f t="shared" si="56"/>
        <v>4249452</v>
      </c>
      <c r="D44" s="13">
        <f t="shared" si="56"/>
        <v>4307066</v>
      </c>
      <c r="E44" s="13">
        <f t="shared" si="56"/>
        <v>4413157</v>
      </c>
      <c r="F44" s="13">
        <f t="shared" si="56"/>
        <v>5160096</v>
      </c>
      <c r="G44" s="13">
        <f t="shared" si="56"/>
        <v>6111112.357368667</v>
      </c>
      <c r="H44" s="13">
        <f t="shared" si="56"/>
        <v>6193120.857368667</v>
      </c>
      <c r="I44" s="13">
        <f t="shared" si="56"/>
        <v>6316768.7373686675</v>
      </c>
      <c r="J44" s="13">
        <f t="shared" si="56"/>
        <v>6558401</v>
      </c>
      <c r="K44" s="13">
        <f t="shared" si="56"/>
        <v>6650779.8040000005</v>
      </c>
      <c r="L44" s="13">
        <f t="shared" si="56"/>
        <v>6742971.608</v>
      </c>
      <c r="M44" s="13">
        <f t="shared" si="56"/>
        <v>6835666.4120000005</v>
      </c>
      <c r="N44" s="13">
        <f t="shared" si="56"/>
        <v>6928596</v>
      </c>
      <c r="O44" s="13">
        <f>O45+O52</f>
        <v>6666501.783059373</v>
      </c>
      <c r="P44" s="13">
        <f aca="true" t="shared" si="57" ref="P44:Z44">P45+P52</f>
        <v>5884622.754280084</v>
      </c>
      <c r="Q44" s="13">
        <f t="shared" si="57"/>
        <v>5645874.073351006</v>
      </c>
      <c r="R44" s="13">
        <f t="shared" si="57"/>
        <v>5274875.787636691</v>
      </c>
      <c r="S44" s="13">
        <f t="shared" si="57"/>
        <v>5045567.219246167</v>
      </c>
      <c r="T44" s="13">
        <f t="shared" si="57"/>
        <v>4738673.195974091</v>
      </c>
      <c r="U44" s="13">
        <f t="shared" si="57"/>
        <v>4627460.272787082</v>
      </c>
      <c r="V44" s="13">
        <f t="shared" si="57"/>
        <v>4304067.328832954</v>
      </c>
      <c r="W44" s="13">
        <f t="shared" si="57"/>
        <v>5145553.307299292</v>
      </c>
      <c r="X44" s="13">
        <f t="shared" si="57"/>
        <v>5171471.657879209</v>
      </c>
      <c r="Y44" s="13">
        <f t="shared" si="57"/>
        <v>5673611.077362237</v>
      </c>
      <c r="Z44" s="13">
        <f t="shared" si="57"/>
        <v>6160697.315202977</v>
      </c>
      <c r="AA44" s="13">
        <f aca="true" t="shared" si="58" ref="AA44:AG44">AA45+AA52</f>
        <v>6207184.034460719</v>
      </c>
      <c r="AB44" s="13">
        <f t="shared" si="58"/>
        <v>6389099.027928155</v>
      </c>
      <c r="AC44" s="13">
        <f t="shared" si="58"/>
        <v>6664247.7409401275</v>
      </c>
      <c r="AD44" s="13">
        <f t="shared" si="58"/>
        <v>6721041.676273211</v>
      </c>
      <c r="AE44" s="13">
        <f t="shared" si="58"/>
        <v>6908579.895627634</v>
      </c>
      <c r="AF44" s="13">
        <f t="shared" si="58"/>
        <v>7045138.836415048</v>
      </c>
      <c r="AG44" s="13">
        <f t="shared" si="58"/>
        <v>7164754.975079898</v>
      </c>
      <c r="AH44" s="13">
        <f aca="true" t="shared" si="59" ref="AH44:AN44">AH45+AH52</f>
        <v>7373727.911197476</v>
      </c>
      <c r="AI44" s="13">
        <f t="shared" si="59"/>
        <v>7356434.440969891</v>
      </c>
      <c r="AJ44" s="13">
        <f t="shared" si="59"/>
        <v>7692045.242818322</v>
      </c>
      <c r="AK44" s="13">
        <f t="shared" si="59"/>
        <v>7662410.875878246</v>
      </c>
      <c r="AL44" s="13">
        <f t="shared" si="59"/>
        <v>7734898.613104342</v>
      </c>
      <c r="AM44" s="13">
        <f t="shared" si="59"/>
        <v>7724613.542797995</v>
      </c>
      <c r="AN44" s="13">
        <f t="shared" si="59"/>
        <v>7706999.303756991</v>
      </c>
      <c r="AO44" s="13">
        <f aca="true" t="shared" si="60" ref="AO44:AU44">AO45+AO52</f>
        <v>7797069.193798071</v>
      </c>
      <c r="AP44" s="13">
        <f t="shared" si="60"/>
        <v>7668677.011907965</v>
      </c>
      <c r="AQ44" s="13">
        <f t="shared" si="60"/>
        <v>8800894.467180273</v>
      </c>
      <c r="AR44" s="13">
        <f t="shared" si="60"/>
        <v>6855360.606442972</v>
      </c>
      <c r="AS44" s="13">
        <f t="shared" si="60"/>
        <v>7627440.495745143</v>
      </c>
      <c r="AT44" s="13">
        <f t="shared" si="60"/>
        <v>6135490.569587398</v>
      </c>
      <c r="AU44" s="13">
        <f t="shared" si="60"/>
        <v>5797581.4506926965</v>
      </c>
      <c r="AV44" s="13">
        <f aca="true" t="shared" si="61" ref="AV44:BA44">AV45+AV52</f>
        <v>6453120.257870587</v>
      </c>
      <c r="AW44" s="13">
        <f t="shared" si="61"/>
        <v>6629369.745299801</v>
      </c>
      <c r="AX44" s="13">
        <f t="shared" si="61"/>
        <v>6868013.293469691</v>
      </c>
      <c r="AY44" s="13">
        <f t="shared" si="61"/>
        <v>7282296.139031601</v>
      </c>
      <c r="AZ44" s="13">
        <f t="shared" si="61"/>
        <v>7430540.830962186</v>
      </c>
      <c r="BA44" s="13">
        <f t="shared" si="61"/>
        <v>7538874.502184831</v>
      </c>
      <c r="BB44" s="13">
        <f>BB45+BB52</f>
        <v>7502956.83037278</v>
      </c>
      <c r="BC44" s="13">
        <f>BC45+BC52</f>
        <v>8432034.752539825</v>
      </c>
    </row>
    <row r="45" spans="1:55" s="3" customFormat="1" ht="12.75">
      <c r="A45" s="5" t="s">
        <v>41</v>
      </c>
      <c r="B45" s="5">
        <f aca="true" t="shared" si="62" ref="B45:O45">SUM(B46:B50)</f>
        <v>6910</v>
      </c>
      <c r="C45" s="5">
        <f t="shared" si="62"/>
        <v>3859</v>
      </c>
      <c r="D45" s="5">
        <f t="shared" si="62"/>
        <v>3654</v>
      </c>
      <c r="E45" s="5">
        <f t="shared" si="62"/>
        <v>3283</v>
      </c>
      <c r="F45" s="5">
        <f t="shared" si="62"/>
        <v>5059</v>
      </c>
      <c r="G45" s="5">
        <f t="shared" si="62"/>
        <v>2739</v>
      </c>
      <c r="H45" s="5">
        <f t="shared" si="62"/>
        <v>3853</v>
      </c>
      <c r="I45" s="5">
        <f t="shared" si="62"/>
        <v>3034</v>
      </c>
      <c r="J45" s="5">
        <f t="shared" si="62"/>
        <v>3086</v>
      </c>
      <c r="K45" s="5">
        <f t="shared" si="62"/>
        <v>3198.9230000000002</v>
      </c>
      <c r="L45" s="5">
        <f t="shared" si="62"/>
        <v>3311.846</v>
      </c>
      <c r="M45" s="5">
        <f t="shared" si="62"/>
        <v>3424.769</v>
      </c>
      <c r="N45" s="5">
        <f t="shared" si="62"/>
        <v>3534</v>
      </c>
      <c r="O45" s="5">
        <f t="shared" si="62"/>
        <v>3615.6240000000003</v>
      </c>
      <c r="P45" s="5">
        <f aca="true" t="shared" si="63" ref="P45:Z45">SUM(P46:P50)</f>
        <v>3697.248</v>
      </c>
      <c r="Q45" s="5">
        <f t="shared" si="63"/>
        <v>3778.8720000000003</v>
      </c>
      <c r="R45" s="5">
        <f t="shared" si="63"/>
        <v>3861</v>
      </c>
      <c r="S45" s="5">
        <f t="shared" si="63"/>
        <v>3952.8000000000006</v>
      </c>
      <c r="T45" s="5">
        <f t="shared" si="63"/>
        <v>4139.55</v>
      </c>
      <c r="U45" s="5">
        <f t="shared" si="63"/>
        <v>4136.4</v>
      </c>
      <c r="V45" s="5">
        <f t="shared" si="63"/>
        <v>4269</v>
      </c>
      <c r="W45" s="5">
        <f t="shared" si="63"/>
        <v>4628.3</v>
      </c>
      <c r="X45" s="5">
        <f t="shared" si="63"/>
        <v>5380.7</v>
      </c>
      <c r="Y45" s="5">
        <f t="shared" si="63"/>
        <v>5740</v>
      </c>
      <c r="Z45" s="5">
        <f t="shared" si="63"/>
        <v>6042.834</v>
      </c>
      <c r="AA45" s="5">
        <f aca="true" t="shared" si="64" ref="AA45:AG45">SUM(AA46:AA50)</f>
        <v>5974.801460000001</v>
      </c>
      <c r="AB45" s="5">
        <f t="shared" si="64"/>
        <v>5868.000025</v>
      </c>
      <c r="AC45" s="5">
        <f t="shared" si="64"/>
        <v>5761.19859</v>
      </c>
      <c r="AD45" s="5">
        <f t="shared" si="64"/>
        <v>5727.015</v>
      </c>
      <c r="AE45" s="5">
        <f t="shared" si="64"/>
        <v>5426.72745</v>
      </c>
      <c r="AF45" s="5">
        <f t="shared" si="64"/>
        <v>5238.192840000001</v>
      </c>
      <c r="AG45" s="5">
        <f t="shared" si="64"/>
        <v>3994.9737000000005</v>
      </c>
      <c r="AH45" s="5">
        <f aca="true" t="shared" si="65" ref="AH45:AN45">SUM(AH46:AH50)</f>
        <v>5008.3550000000005</v>
      </c>
      <c r="AI45" s="5">
        <f t="shared" si="65"/>
        <v>4860.449296149179</v>
      </c>
      <c r="AJ45" s="5">
        <f t="shared" si="65"/>
        <v>5054.553018173244</v>
      </c>
      <c r="AK45" s="5">
        <f t="shared" si="65"/>
        <v>5281.590189801751</v>
      </c>
      <c r="AL45" s="5">
        <f t="shared" si="65"/>
        <v>5780.3829451599995</v>
      </c>
      <c r="AM45" s="5">
        <f t="shared" si="65"/>
        <v>5631.617262761502</v>
      </c>
      <c r="AN45" s="5">
        <f t="shared" si="65"/>
        <v>5600.365519458579</v>
      </c>
      <c r="AO45" s="5">
        <f aca="true" t="shared" si="66" ref="AO45:AU45">SUM(AO46:AO50)</f>
        <v>5500.710951739455</v>
      </c>
      <c r="AP45" s="5">
        <f t="shared" si="66"/>
        <v>4927.128654</v>
      </c>
      <c r="AQ45" s="5">
        <f t="shared" si="66"/>
        <v>5611.703525727478</v>
      </c>
      <c r="AR45" s="5">
        <f t="shared" si="66"/>
        <v>5748.013559713427</v>
      </c>
      <c r="AS45" s="5">
        <f t="shared" si="66"/>
        <v>5766.554640114425</v>
      </c>
      <c r="AT45" s="5">
        <f t="shared" si="66"/>
        <v>5976.681728463219</v>
      </c>
      <c r="AU45" s="5">
        <f t="shared" si="66"/>
        <v>6380.693470092027</v>
      </c>
      <c r="AV45" s="5">
        <f aca="true" t="shared" si="67" ref="AV45:BA45">SUM(AV46:AV50)</f>
        <v>6865.087431388152</v>
      </c>
      <c r="AW45" s="5">
        <f t="shared" si="67"/>
        <v>7166.621250072765</v>
      </c>
      <c r="AX45" s="5">
        <f t="shared" si="67"/>
        <v>7080.011809317669</v>
      </c>
      <c r="AY45" s="5">
        <f t="shared" si="67"/>
        <v>7567.395945226024</v>
      </c>
      <c r="AZ45" s="5">
        <f t="shared" si="67"/>
        <v>8299.623250639084</v>
      </c>
      <c r="BA45" s="5">
        <f t="shared" si="67"/>
        <v>9112.688909020551</v>
      </c>
      <c r="BB45" s="5">
        <f>SUM(BB46:BB50)</f>
        <v>9431.005769844607</v>
      </c>
      <c r="BC45" s="5">
        <f>SUM(BC46:BC50)</f>
        <v>9126.219264473077</v>
      </c>
    </row>
    <row r="46" spans="1:55" s="3" customFormat="1" ht="12.75">
      <c r="A46" s="4" t="s">
        <v>25</v>
      </c>
      <c r="B46" s="5"/>
      <c r="C46" s="5"/>
      <c r="D46" s="5"/>
      <c r="E46" s="5"/>
      <c r="F46" s="5"/>
      <c r="G46" s="5"/>
      <c r="H46" s="5"/>
      <c r="I46" s="5"/>
      <c r="J46" s="5"/>
      <c r="K46" s="5"/>
      <c r="L46" s="14"/>
      <c r="M46" s="14"/>
      <c r="N46" s="14"/>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s="3" customFormat="1" ht="12.75">
      <c r="A47" s="4" t="s">
        <v>17</v>
      </c>
      <c r="B47" s="5">
        <v>4038</v>
      </c>
      <c r="C47" s="5">
        <v>3859</v>
      </c>
      <c r="D47" s="5">
        <v>3654</v>
      </c>
      <c r="E47" s="5">
        <v>3283</v>
      </c>
      <c r="F47" s="5">
        <v>2759</v>
      </c>
      <c r="G47" s="5">
        <v>2739</v>
      </c>
      <c r="H47" s="5">
        <v>3853</v>
      </c>
      <c r="I47" s="5">
        <v>3034</v>
      </c>
      <c r="J47" s="5">
        <v>609</v>
      </c>
      <c r="K47" s="5">
        <v>632.7510000000001</v>
      </c>
      <c r="L47" s="5">
        <v>656.5020000000001</v>
      </c>
      <c r="M47" s="5">
        <v>680.253</v>
      </c>
      <c r="N47" s="5">
        <v>703</v>
      </c>
      <c r="O47" s="5">
        <v>773.3000000000001</v>
      </c>
      <c r="P47" s="5">
        <v>843.6</v>
      </c>
      <c r="Q47" s="5">
        <v>913.9</v>
      </c>
      <c r="R47" s="5">
        <v>981</v>
      </c>
      <c r="S47" s="5">
        <v>784.8000000000001</v>
      </c>
      <c r="T47" s="5">
        <v>539.5500000000001</v>
      </c>
      <c r="U47" s="5">
        <v>392.40000000000003</v>
      </c>
      <c r="V47" s="5">
        <v>338</v>
      </c>
      <c r="W47" s="5">
        <v>304.2</v>
      </c>
      <c r="X47" s="5">
        <v>270.40000000000003</v>
      </c>
      <c r="Y47" s="5">
        <v>236.6</v>
      </c>
      <c r="Z47" s="5">
        <v>190.105</v>
      </c>
      <c r="AA47" s="5">
        <v>180.59974999999997</v>
      </c>
      <c r="AB47" s="5">
        <v>161.58925</v>
      </c>
      <c r="AC47" s="5">
        <v>142.57874999999999</v>
      </c>
      <c r="AD47" s="5">
        <v>139.368</v>
      </c>
      <c r="AE47" s="5">
        <v>118.46279999999999</v>
      </c>
      <c r="AF47" s="5">
        <v>97.5576</v>
      </c>
      <c r="AG47" s="5">
        <v>83.62079999999999</v>
      </c>
      <c r="AH47" s="5">
        <v>69.15200000000004</v>
      </c>
      <c r="AI47" s="5">
        <v>72.60960000000004</v>
      </c>
      <c r="AJ47" s="5">
        <v>73.99264000000005</v>
      </c>
      <c r="AK47" s="5">
        <v>71.91808000000005</v>
      </c>
      <c r="AL47" s="5">
        <v>248.806</v>
      </c>
      <c r="AM47" s="5">
        <v>203.1933105084498</v>
      </c>
      <c r="AN47" s="5">
        <v>168.5183810352798</v>
      </c>
      <c r="AO47" s="5">
        <v>144.81805301383088</v>
      </c>
      <c r="AP47" s="5">
        <v>108.155</v>
      </c>
      <c r="AQ47" s="5">
        <v>102.77766897934686</v>
      </c>
      <c r="AR47" s="5">
        <v>119.5823429632942</v>
      </c>
      <c r="AS47" s="5">
        <v>129.8802939854438</v>
      </c>
      <c r="AT47" s="5">
        <v>187.398</v>
      </c>
      <c r="AU47" s="5">
        <v>197.66267052761768</v>
      </c>
      <c r="AV47" s="5">
        <v>247.62366726512855</v>
      </c>
      <c r="AW47" s="5">
        <v>273.6114356941447</v>
      </c>
      <c r="AX47" s="5">
        <v>155.405</v>
      </c>
      <c r="AY47" s="5">
        <v>197.39594522602408</v>
      </c>
      <c r="AZ47" s="5">
        <v>190.62325063908483</v>
      </c>
      <c r="BA47" s="5">
        <v>192.78890902054988</v>
      </c>
      <c r="BB47" s="5">
        <v>198.74576984460612</v>
      </c>
      <c r="BC47" s="5">
        <v>276.2192644730769</v>
      </c>
    </row>
    <row r="48" spans="1:55" s="3" customFormat="1" ht="12.75">
      <c r="A48" s="4" t="s">
        <v>18</v>
      </c>
      <c r="B48" s="5"/>
      <c r="C48" s="5"/>
      <c r="D48" s="5"/>
      <c r="E48" s="5"/>
      <c r="F48" s="5"/>
      <c r="G48" s="5"/>
      <c r="H48" s="5"/>
      <c r="I48" s="5"/>
      <c r="J48" s="5"/>
      <c r="K48" s="5"/>
      <c r="L48" s="14"/>
      <c r="M48" s="14"/>
      <c r="N48" s="14"/>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1:55" s="3" customFormat="1" ht="12.75">
      <c r="A49" s="4" t="s">
        <v>26</v>
      </c>
      <c r="B49" s="5">
        <v>2872</v>
      </c>
      <c r="C49" s="5"/>
      <c r="D49" s="5"/>
      <c r="E49" s="5"/>
      <c r="F49" s="5">
        <v>2300</v>
      </c>
      <c r="G49" s="5"/>
      <c r="H49" s="5"/>
      <c r="I49" s="5"/>
      <c r="J49" s="5">
        <v>2477</v>
      </c>
      <c r="K49" s="5">
        <v>2566.172</v>
      </c>
      <c r="L49" s="14">
        <v>2655.344</v>
      </c>
      <c r="M49" s="14">
        <v>2744.5159999999996</v>
      </c>
      <c r="N49" s="14">
        <v>2831</v>
      </c>
      <c r="O49" s="5">
        <v>2842.324</v>
      </c>
      <c r="P49" s="5">
        <v>2853.648</v>
      </c>
      <c r="Q49" s="5">
        <v>2864.972</v>
      </c>
      <c r="R49" s="5">
        <v>2880</v>
      </c>
      <c r="S49" s="5">
        <v>3168.0000000000005</v>
      </c>
      <c r="T49" s="5">
        <v>3600</v>
      </c>
      <c r="U49" s="5">
        <v>3744</v>
      </c>
      <c r="V49" s="5">
        <v>3931</v>
      </c>
      <c r="W49" s="5">
        <v>4324.1</v>
      </c>
      <c r="X49" s="5">
        <v>5110.3</v>
      </c>
      <c r="Y49" s="5">
        <v>5503.4</v>
      </c>
      <c r="Z49" s="5">
        <v>5852.729</v>
      </c>
      <c r="AA49" s="5">
        <v>5794.20171</v>
      </c>
      <c r="AB49" s="5">
        <v>5706.410775</v>
      </c>
      <c r="AC49" s="5">
        <v>5618.61984</v>
      </c>
      <c r="AD49" s="5">
        <v>5587.647</v>
      </c>
      <c r="AE49" s="5">
        <v>5308.26465</v>
      </c>
      <c r="AF49" s="5">
        <v>5140.6352400000005</v>
      </c>
      <c r="AG49" s="5">
        <v>3911.3529000000003</v>
      </c>
      <c r="AH49" s="5">
        <v>4939.203</v>
      </c>
      <c r="AI49" s="5">
        <v>4787.839696149179</v>
      </c>
      <c r="AJ49" s="5">
        <v>4980.560378173243</v>
      </c>
      <c r="AK49" s="5">
        <v>5209.672109801751</v>
      </c>
      <c r="AL49" s="5">
        <v>5531.57694516</v>
      </c>
      <c r="AM49" s="5">
        <v>5428.423952253052</v>
      </c>
      <c r="AN49" s="5">
        <v>5431.847138423299</v>
      </c>
      <c r="AO49" s="5">
        <v>5355.892898725624</v>
      </c>
      <c r="AP49" s="5">
        <v>4818.973654</v>
      </c>
      <c r="AQ49" s="5">
        <v>5508.925856748131</v>
      </c>
      <c r="AR49" s="5">
        <v>5628.431216750132</v>
      </c>
      <c r="AS49" s="5">
        <v>5636.674346128981</v>
      </c>
      <c r="AT49" s="5">
        <v>5789.283728463219</v>
      </c>
      <c r="AU49" s="5">
        <v>6183.03079956441</v>
      </c>
      <c r="AV49" s="5">
        <v>6617.463764123024</v>
      </c>
      <c r="AW49" s="5">
        <v>6893.009814378621</v>
      </c>
      <c r="AX49" s="5">
        <v>6924.606809317669</v>
      </c>
      <c r="AY49" s="5">
        <v>7370</v>
      </c>
      <c r="AZ49" s="5">
        <v>8109</v>
      </c>
      <c r="BA49" s="5">
        <v>8919.900000000001</v>
      </c>
      <c r="BB49" s="5">
        <v>9232.26</v>
      </c>
      <c r="BC49" s="5">
        <v>8850</v>
      </c>
    </row>
    <row r="50" spans="1:55" s="3" customFormat="1" ht="12.75">
      <c r="A50" s="4" t="s">
        <v>24</v>
      </c>
      <c r="B50" s="5"/>
      <c r="C50" s="5"/>
      <c r="D50" s="5"/>
      <c r="E50" s="5"/>
      <c r="F50" s="5"/>
      <c r="G50" s="5"/>
      <c r="H50" s="5"/>
      <c r="I50" s="5"/>
      <c r="J50" s="5"/>
      <c r="K50" s="5"/>
      <c r="L50" s="14"/>
      <c r="M50" s="14"/>
      <c r="N50" s="14"/>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s="3" customFormat="1" ht="12.75">
      <c r="A51" s="4"/>
      <c r="B51" s="5"/>
      <c r="C51" s="5"/>
      <c r="D51" s="5"/>
      <c r="E51" s="5"/>
      <c r="F51" s="5"/>
      <c r="G51" s="5"/>
      <c r="H51" s="5"/>
      <c r="I51" s="5"/>
      <c r="J51" s="5"/>
      <c r="K51" s="5"/>
      <c r="L51" s="14"/>
      <c r="M51" s="14"/>
      <c r="N51" s="14"/>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s="3" customFormat="1" ht="12.75">
      <c r="A52" s="1" t="s">
        <v>7</v>
      </c>
      <c r="B52" s="20">
        <f aca="true" t="shared" si="68" ref="B52:P52">B53+B56+B60+B61+B62+B65</f>
        <v>4190806</v>
      </c>
      <c r="C52" s="20">
        <f t="shared" si="68"/>
        <v>4245593</v>
      </c>
      <c r="D52" s="20">
        <f t="shared" si="68"/>
        <v>4303412</v>
      </c>
      <c r="E52" s="20">
        <f t="shared" si="68"/>
        <v>4409874</v>
      </c>
      <c r="F52" s="20">
        <f t="shared" si="68"/>
        <v>5155037</v>
      </c>
      <c r="G52" s="20">
        <f t="shared" si="68"/>
        <v>6108373.357368667</v>
      </c>
      <c r="H52" s="20">
        <f t="shared" si="68"/>
        <v>6189267.857368667</v>
      </c>
      <c r="I52" s="20">
        <f t="shared" si="68"/>
        <v>6313734.7373686675</v>
      </c>
      <c r="J52" s="20">
        <f t="shared" si="68"/>
        <v>6555315</v>
      </c>
      <c r="K52" s="20">
        <f t="shared" si="68"/>
        <v>6647580.881</v>
      </c>
      <c r="L52" s="20">
        <f t="shared" si="68"/>
        <v>6739659.762</v>
      </c>
      <c r="M52" s="20">
        <f t="shared" si="68"/>
        <v>6832241.643</v>
      </c>
      <c r="N52" s="20">
        <f t="shared" si="68"/>
        <v>6925062</v>
      </c>
      <c r="O52" s="20">
        <f t="shared" si="68"/>
        <v>6662886.159059373</v>
      </c>
      <c r="P52" s="20">
        <f t="shared" si="68"/>
        <v>5880925.506280084</v>
      </c>
      <c r="Q52" s="20">
        <f aca="true" t="shared" si="69" ref="Q52:Z52">Q53+Q56+Q60+Q61+Q62+Q65</f>
        <v>5642095.201351006</v>
      </c>
      <c r="R52" s="20">
        <f t="shared" si="69"/>
        <v>5271014.787636691</v>
      </c>
      <c r="S52" s="20">
        <f t="shared" si="69"/>
        <v>5041614.419246167</v>
      </c>
      <c r="T52" s="20">
        <f t="shared" si="69"/>
        <v>4734533.645974091</v>
      </c>
      <c r="U52" s="20">
        <f t="shared" si="69"/>
        <v>4623323.872787082</v>
      </c>
      <c r="V52" s="20">
        <f t="shared" si="69"/>
        <v>4299798.328832954</v>
      </c>
      <c r="W52" s="20">
        <f t="shared" si="69"/>
        <v>5140925.007299292</v>
      </c>
      <c r="X52" s="20">
        <f t="shared" si="69"/>
        <v>5166090.957879209</v>
      </c>
      <c r="Y52" s="20">
        <f t="shared" si="69"/>
        <v>5667871.077362237</v>
      </c>
      <c r="Z52" s="20">
        <f t="shared" si="69"/>
        <v>6154654.481202977</v>
      </c>
      <c r="AA52" s="20">
        <f aca="true" t="shared" si="70" ref="AA52:AG52">AA53+AA56+AA60+AA61+AA62+AA65</f>
        <v>6201209.233000719</v>
      </c>
      <c r="AB52" s="20">
        <f t="shared" si="70"/>
        <v>6383231.0279031545</v>
      </c>
      <c r="AC52" s="20">
        <f t="shared" si="70"/>
        <v>6658486.542350127</v>
      </c>
      <c r="AD52" s="20">
        <f t="shared" si="70"/>
        <v>6715314.661273211</v>
      </c>
      <c r="AE52" s="20">
        <f t="shared" si="70"/>
        <v>6903153.168177634</v>
      </c>
      <c r="AF52" s="20">
        <f t="shared" si="70"/>
        <v>7039900.643575048</v>
      </c>
      <c r="AG52" s="20">
        <f t="shared" si="70"/>
        <v>7160760.001379898</v>
      </c>
      <c r="AH52" s="20">
        <f aca="true" t="shared" si="71" ref="AH52:AN52">AH53+AH56+AH60+AH61+AH62+AH65</f>
        <v>7368719.556197476</v>
      </c>
      <c r="AI52" s="20">
        <f t="shared" si="71"/>
        <v>7351573.9916737415</v>
      </c>
      <c r="AJ52" s="20">
        <f t="shared" si="71"/>
        <v>7686990.689800149</v>
      </c>
      <c r="AK52" s="20">
        <f t="shared" si="71"/>
        <v>7657129.285688444</v>
      </c>
      <c r="AL52" s="20">
        <f t="shared" si="71"/>
        <v>7729118.230159181</v>
      </c>
      <c r="AM52" s="20">
        <f t="shared" si="71"/>
        <v>7718981.925535234</v>
      </c>
      <c r="AN52" s="20">
        <f t="shared" si="71"/>
        <v>7701398.938237533</v>
      </c>
      <c r="AO52" s="20">
        <f aca="true" t="shared" si="72" ref="AO52:AU52">AO53+AO56+AO60+AO61+AO62+AO65</f>
        <v>7791568.482846332</v>
      </c>
      <c r="AP52" s="20">
        <f t="shared" si="72"/>
        <v>7663749.883253965</v>
      </c>
      <c r="AQ52" s="20">
        <f t="shared" si="72"/>
        <v>8795282.763654545</v>
      </c>
      <c r="AR52" s="20">
        <f t="shared" si="72"/>
        <v>6849612.592883259</v>
      </c>
      <c r="AS52" s="20">
        <f t="shared" si="72"/>
        <v>7621673.941105029</v>
      </c>
      <c r="AT52" s="20">
        <f t="shared" si="72"/>
        <v>6129513.887858935</v>
      </c>
      <c r="AU52" s="20">
        <f t="shared" si="72"/>
        <v>5791200.757222604</v>
      </c>
      <c r="AV52" s="20">
        <f aca="true" t="shared" si="73" ref="AV52:BA52">AV53+AV56+AV60+AV61+AV62+AV65</f>
        <v>6446255.170439199</v>
      </c>
      <c r="AW52" s="20">
        <f t="shared" si="73"/>
        <v>6622203.124049729</v>
      </c>
      <c r="AX52" s="20">
        <f t="shared" si="73"/>
        <v>6860933.281660373</v>
      </c>
      <c r="AY52" s="20">
        <f t="shared" si="73"/>
        <v>7274728.743086375</v>
      </c>
      <c r="AZ52" s="20">
        <f t="shared" si="73"/>
        <v>7422241.207711547</v>
      </c>
      <c r="BA52" s="20">
        <f t="shared" si="73"/>
        <v>7529761.81327581</v>
      </c>
      <c r="BB52" s="20">
        <f>BB53+BB56+BB60+BB61+BB62+BB65</f>
        <v>7493525.824602935</v>
      </c>
      <c r="BC52" s="20">
        <f>BC53+BC56+BC60+BC61+BC62+BC65</f>
        <v>8422908.53327535</v>
      </c>
    </row>
    <row r="53" spans="1:55" s="3" customFormat="1" ht="12.75">
      <c r="A53" s="4" t="s">
        <v>16</v>
      </c>
      <c r="B53" s="8">
        <v>982880</v>
      </c>
      <c r="C53" s="8">
        <v>1008641</v>
      </c>
      <c r="D53" s="8">
        <v>1038082</v>
      </c>
      <c r="E53" s="8">
        <v>1091444</v>
      </c>
      <c r="F53" s="8">
        <v>1166886</v>
      </c>
      <c r="G53" s="8">
        <v>896917</v>
      </c>
      <c r="H53" s="8">
        <v>626932</v>
      </c>
      <c r="I53" s="2">
        <v>356963</v>
      </c>
      <c r="J53" s="8">
        <v>498513</v>
      </c>
      <c r="K53" s="8">
        <v>516957.98099999997</v>
      </c>
      <c r="L53" s="8">
        <v>535402.962</v>
      </c>
      <c r="M53" s="8">
        <v>553847.943</v>
      </c>
      <c r="N53" s="8">
        <v>572959</v>
      </c>
      <c r="O53" s="8">
        <v>507438.81682256114</v>
      </c>
      <c r="P53" s="5">
        <v>459035.3042203406</v>
      </c>
      <c r="Q53" s="5">
        <v>406598.87945116573</v>
      </c>
      <c r="R53" s="5">
        <v>347549.7895766379</v>
      </c>
      <c r="S53" s="5">
        <v>279257.0667405806</v>
      </c>
      <c r="T53" s="5">
        <v>220037.56656476812</v>
      </c>
      <c r="U53" s="5">
        <v>176106.91840001362</v>
      </c>
      <c r="V53" s="5">
        <f>V54+V55</f>
        <v>108752.55650904866</v>
      </c>
      <c r="W53" s="5">
        <f aca="true" t="shared" si="74" ref="W53:AK53">W54+W55</f>
        <v>211523.1985912656</v>
      </c>
      <c r="X53" s="5">
        <f t="shared" si="74"/>
        <v>280775.6365116055</v>
      </c>
      <c r="Y53" s="5">
        <f t="shared" si="74"/>
        <v>339775.55050164013</v>
      </c>
      <c r="Z53" s="5">
        <f t="shared" si="74"/>
        <v>400881.3916411213</v>
      </c>
      <c r="AA53" s="5">
        <f t="shared" si="74"/>
        <v>391291.8519185105</v>
      </c>
      <c r="AB53" s="5">
        <f t="shared" si="74"/>
        <v>385351.7630271784</v>
      </c>
      <c r="AC53" s="5">
        <f t="shared" si="74"/>
        <v>373696.6754114632</v>
      </c>
      <c r="AD53" s="5">
        <f t="shared" si="74"/>
        <v>367962.77166528004</v>
      </c>
      <c r="AE53" s="5">
        <f t="shared" si="74"/>
        <v>394278.56818245276</v>
      </c>
      <c r="AF53" s="5">
        <f t="shared" si="74"/>
        <v>421255.31478999025</v>
      </c>
      <c r="AG53" s="5">
        <f t="shared" si="74"/>
        <v>442616.8630661873</v>
      </c>
      <c r="AH53" s="5">
        <f t="shared" si="74"/>
        <v>465046.7038721214</v>
      </c>
      <c r="AI53" s="5">
        <f t="shared" si="74"/>
        <v>436119.71060974774</v>
      </c>
      <c r="AJ53" s="5">
        <f t="shared" si="74"/>
        <v>430862.4592851936</v>
      </c>
      <c r="AK53" s="5">
        <f t="shared" si="74"/>
        <v>403690.8701922984</v>
      </c>
      <c r="AL53" s="5">
        <f aca="true" t="shared" si="75" ref="AL53:AR53">AL54+AL55</f>
        <v>395167.3740958988</v>
      </c>
      <c r="AM53" s="5">
        <f t="shared" si="75"/>
        <v>396600.3617453805</v>
      </c>
      <c r="AN53" s="5">
        <f t="shared" si="75"/>
        <v>399572.9445660195</v>
      </c>
      <c r="AO53" s="5">
        <f t="shared" si="75"/>
        <v>407342.6121055614</v>
      </c>
      <c r="AP53" s="5">
        <f t="shared" si="75"/>
        <v>405125.697823965</v>
      </c>
      <c r="AQ53" s="5">
        <f t="shared" si="75"/>
        <v>448419.218166596</v>
      </c>
      <c r="AR53" s="5">
        <f t="shared" si="75"/>
        <v>500457.8902766854</v>
      </c>
      <c r="AS53" s="5">
        <f aca="true" t="shared" si="76" ref="AS53:AY53">AS54+AS55</f>
        <v>511311.8908923925</v>
      </c>
      <c r="AT53" s="5">
        <f t="shared" si="76"/>
        <v>270449.00402179</v>
      </c>
      <c r="AU53" s="5">
        <f t="shared" si="76"/>
        <v>316941.0418243945</v>
      </c>
      <c r="AV53" s="5">
        <f t="shared" si="76"/>
        <v>327979.76761881326</v>
      </c>
      <c r="AW53" s="5">
        <f t="shared" si="76"/>
        <v>315039.7600883227</v>
      </c>
      <c r="AX53" s="5">
        <f t="shared" si="76"/>
        <v>344917.833240443</v>
      </c>
      <c r="AY53" s="5">
        <f t="shared" si="76"/>
        <v>359950.4129782531</v>
      </c>
      <c r="AZ53" s="5">
        <f>AZ54+AZ55</f>
        <v>371949.44231560576</v>
      </c>
      <c r="BA53" s="5">
        <f>BA54+BA55</f>
        <v>352383.557445095</v>
      </c>
      <c r="BB53" s="5">
        <f>BB54+BB55</f>
        <v>367121.68697054096</v>
      </c>
      <c r="BC53" s="5">
        <f>BC54+BC55</f>
        <v>372131.4980702883</v>
      </c>
    </row>
    <row r="54" spans="1:55" s="3" customFormat="1" ht="12.75">
      <c r="A54" s="1" t="s">
        <v>31</v>
      </c>
      <c r="B54" s="2">
        <v>981340</v>
      </c>
      <c r="C54" s="2">
        <v>1007101</v>
      </c>
      <c r="D54" s="2">
        <v>1036542</v>
      </c>
      <c r="E54" s="2">
        <v>1089904</v>
      </c>
      <c r="F54" s="2">
        <v>1165346</v>
      </c>
      <c r="G54" s="2">
        <v>895346</v>
      </c>
      <c r="H54" s="2">
        <v>625346</v>
      </c>
      <c r="I54" s="2">
        <v>355346</v>
      </c>
      <c r="J54" s="2">
        <v>498513</v>
      </c>
      <c r="K54" s="2">
        <v>516957.98099999997</v>
      </c>
      <c r="L54" s="2">
        <v>535402.962</v>
      </c>
      <c r="M54" s="2">
        <v>553847.943</v>
      </c>
      <c r="N54" s="2">
        <v>572959</v>
      </c>
      <c r="O54" s="2">
        <v>507438.81682256114</v>
      </c>
      <c r="P54" s="7">
        <v>459035.3042203406</v>
      </c>
      <c r="Q54" s="7">
        <v>406598.87945116573</v>
      </c>
      <c r="R54" s="7">
        <v>347549.7895766379</v>
      </c>
      <c r="S54" s="7">
        <v>279257.0667405806</v>
      </c>
      <c r="T54" s="7">
        <v>220037.56656476812</v>
      </c>
      <c r="U54" s="7">
        <v>176106.91840001362</v>
      </c>
      <c r="V54" s="7">
        <v>108531.20882959866</v>
      </c>
      <c r="W54" s="7">
        <v>211201.8227174156</v>
      </c>
      <c r="X54" s="7">
        <v>280354.23244335555</v>
      </c>
      <c r="Y54" s="7">
        <v>339254.11823899014</v>
      </c>
      <c r="Z54" s="7">
        <v>400259.9311840713</v>
      </c>
      <c r="AA54" s="7">
        <v>390633.811084403</v>
      </c>
      <c r="AB54" s="7">
        <v>384657.14181601343</v>
      </c>
      <c r="AC54" s="7">
        <v>372965.47382324067</v>
      </c>
      <c r="AD54" s="7">
        <v>367194.98970000003</v>
      </c>
      <c r="AE54" s="7">
        <v>393336.6261599765</v>
      </c>
      <c r="AF54" s="7">
        <v>420139.21271031775</v>
      </c>
      <c r="AG54" s="7">
        <v>441326.6009293186</v>
      </c>
      <c r="AH54" s="7">
        <v>463582.2816780564</v>
      </c>
      <c r="AI54" s="7">
        <v>434775.67878646776</v>
      </c>
      <c r="AJ54" s="7">
        <v>429549.1233178936</v>
      </c>
      <c r="AK54" s="7">
        <v>401999.6448076714</v>
      </c>
      <c r="AL54" s="7">
        <v>393297.5571998388</v>
      </c>
      <c r="AM54" s="7">
        <v>394875.2583716425</v>
      </c>
      <c r="AN54" s="7">
        <v>397639.3460665635</v>
      </c>
      <c r="AO54" s="7">
        <v>405291.51625613344</v>
      </c>
      <c r="AP54" s="7">
        <v>402967.10099999997</v>
      </c>
      <c r="AQ54" s="7">
        <v>446274.65720387903</v>
      </c>
      <c r="AR54" s="7">
        <v>498412.4154889104</v>
      </c>
      <c r="AS54" s="7">
        <v>509317.1828422495</v>
      </c>
      <c r="AT54" s="7">
        <v>268913</v>
      </c>
      <c r="AU54" s="7">
        <v>315387.1774012295</v>
      </c>
      <c r="AV54" s="7">
        <v>326478.76716709125</v>
      </c>
      <c r="AW54" s="7">
        <v>313275.4874710177</v>
      </c>
      <c r="AX54" s="7">
        <v>342925</v>
      </c>
      <c r="AY54" s="7">
        <v>357972.4350915981</v>
      </c>
      <c r="AZ54" s="7">
        <v>369987.77906804276</v>
      </c>
      <c r="BA54" s="7">
        <v>350504.48846309</v>
      </c>
      <c r="BB54" s="7">
        <v>365229.380671896</v>
      </c>
      <c r="BC54" s="7">
        <v>370033.90136743727</v>
      </c>
    </row>
    <row r="55" spans="1:55" s="3" customFormat="1" ht="12.75">
      <c r="A55" s="1" t="s">
        <v>47</v>
      </c>
      <c r="B55" s="2"/>
      <c r="C55" s="2"/>
      <c r="D55" s="2"/>
      <c r="E55" s="2"/>
      <c r="F55" s="2"/>
      <c r="G55" s="2"/>
      <c r="H55" s="2"/>
      <c r="I55" s="2"/>
      <c r="J55" s="2"/>
      <c r="K55" s="2"/>
      <c r="L55" s="2"/>
      <c r="M55" s="2"/>
      <c r="N55" s="2"/>
      <c r="O55" s="2"/>
      <c r="P55" s="7"/>
      <c r="Q55" s="7"/>
      <c r="R55" s="7"/>
      <c r="S55" s="7"/>
      <c r="T55" s="7"/>
      <c r="U55" s="7"/>
      <c r="V55" s="7">
        <v>221.34767945</v>
      </c>
      <c r="W55" s="7">
        <v>321.37587385</v>
      </c>
      <c r="X55" s="7">
        <v>421.4040682500001</v>
      </c>
      <c r="Y55" s="7">
        <v>521.4322626500001</v>
      </c>
      <c r="Z55" s="7">
        <v>621.4604570500001</v>
      </c>
      <c r="AA55" s="7">
        <v>658.0408341075001</v>
      </c>
      <c r="AB55" s="7">
        <v>694.621211165</v>
      </c>
      <c r="AC55" s="7">
        <v>731.2015882224998</v>
      </c>
      <c r="AD55" s="7">
        <v>767.7819652799999</v>
      </c>
      <c r="AE55" s="7">
        <v>941.9420224762498</v>
      </c>
      <c r="AF55" s="7">
        <v>1116.1020796725</v>
      </c>
      <c r="AG55" s="7">
        <v>1290.2621368687498</v>
      </c>
      <c r="AH55" s="7">
        <v>1464.4221940649998</v>
      </c>
      <c r="AI55" s="7">
        <v>1344.03182328</v>
      </c>
      <c r="AJ55" s="7">
        <v>1313.3359673</v>
      </c>
      <c r="AK55" s="7">
        <v>1691.225384627</v>
      </c>
      <c r="AL55" s="7">
        <v>1869.81689606</v>
      </c>
      <c r="AM55" s="7">
        <v>1725.1033737379996</v>
      </c>
      <c r="AN55" s="7">
        <v>1933.5984994560001</v>
      </c>
      <c r="AO55" s="7">
        <v>2051.095849428</v>
      </c>
      <c r="AP55" s="7">
        <v>2158.596823965</v>
      </c>
      <c r="AQ55" s="7">
        <v>2144.5609627169993</v>
      </c>
      <c r="AR55" s="7">
        <v>2045.4747877749999</v>
      </c>
      <c r="AS55" s="7">
        <v>1994.7080501429998</v>
      </c>
      <c r="AT55" s="7">
        <v>1536.0040217900007</v>
      </c>
      <c r="AU55" s="7">
        <v>1553.864423165</v>
      </c>
      <c r="AV55" s="7">
        <v>1501.000451722</v>
      </c>
      <c r="AW55" s="7">
        <v>1764.2726173049994</v>
      </c>
      <c r="AX55" s="7">
        <v>1992.8332404429996</v>
      </c>
      <c r="AY55" s="7">
        <v>1977.9778866549996</v>
      </c>
      <c r="AZ55" s="7">
        <v>1961.6632475629997</v>
      </c>
      <c r="BA55" s="7">
        <v>1879.0689820050002</v>
      </c>
      <c r="BB55" s="7">
        <v>1892.3062986450004</v>
      </c>
      <c r="BC55" s="7">
        <v>2097.596702850999</v>
      </c>
    </row>
    <row r="56" spans="1:55" s="3" customFormat="1" ht="12.75">
      <c r="A56" s="4" t="s">
        <v>17</v>
      </c>
      <c r="B56" s="5">
        <f aca="true" t="shared" si="77" ref="B56:H56">B57+B58+B59</f>
        <v>230088</v>
      </c>
      <c r="C56" s="5">
        <f t="shared" si="77"/>
        <v>307335</v>
      </c>
      <c r="D56" s="5">
        <f t="shared" si="77"/>
        <v>393094</v>
      </c>
      <c r="E56" s="5">
        <f t="shared" si="77"/>
        <v>550199</v>
      </c>
      <c r="F56" s="5">
        <f t="shared" si="77"/>
        <v>1360930</v>
      </c>
      <c r="G56" s="5">
        <f t="shared" si="77"/>
        <v>1348638.2473686675</v>
      </c>
      <c r="H56" s="5">
        <f t="shared" si="77"/>
        <v>1333944.9973686675</v>
      </c>
      <c r="I56" s="5">
        <f aca="true" t="shared" si="78" ref="I56:O56">I57+I58+I59</f>
        <v>1318939.3973686674</v>
      </c>
      <c r="J56" s="5">
        <f t="shared" si="78"/>
        <v>978101</v>
      </c>
      <c r="K56" s="5">
        <f t="shared" si="78"/>
        <v>939934.6</v>
      </c>
      <c r="L56" s="5">
        <f t="shared" si="78"/>
        <v>901581.2000000001</v>
      </c>
      <c r="M56" s="5">
        <f t="shared" si="78"/>
        <v>863729.8</v>
      </c>
      <c r="N56" s="5">
        <f t="shared" si="78"/>
        <v>830175</v>
      </c>
      <c r="O56" s="5">
        <f t="shared" si="78"/>
        <v>1222170.451890091</v>
      </c>
      <c r="P56" s="5">
        <f aca="true" t="shared" si="79" ref="P56:AL56">P57+P58+P59</f>
        <v>922648.5000947362</v>
      </c>
      <c r="Q56" s="5">
        <f t="shared" si="79"/>
        <v>1218930.7741243755</v>
      </c>
      <c r="R56" s="5">
        <f t="shared" si="79"/>
        <v>1462392.9334643213</v>
      </c>
      <c r="S56" s="5">
        <f t="shared" si="79"/>
        <v>1382014.2171398418</v>
      </c>
      <c r="T56" s="5">
        <f t="shared" si="79"/>
        <v>1350254.933328545</v>
      </c>
      <c r="U56" s="5">
        <f t="shared" si="79"/>
        <v>1358968.510237443</v>
      </c>
      <c r="V56" s="5">
        <f t="shared" si="79"/>
        <v>1333166.8742420862</v>
      </c>
      <c r="W56" s="5">
        <f t="shared" si="79"/>
        <v>1590265.5648512482</v>
      </c>
      <c r="X56" s="5">
        <f t="shared" si="79"/>
        <v>1590439.2277741851</v>
      </c>
      <c r="Y56" s="5">
        <f t="shared" si="79"/>
        <v>1446001.3881904432</v>
      </c>
      <c r="Z56" s="5">
        <f t="shared" si="79"/>
        <v>1315716.4237</v>
      </c>
      <c r="AA56" s="5">
        <f t="shared" si="79"/>
        <v>1325635.5463498796</v>
      </c>
      <c r="AB56" s="5">
        <f t="shared" si="79"/>
        <v>1362036.9874395123</v>
      </c>
      <c r="AC56" s="5">
        <f t="shared" si="79"/>
        <v>1498654.039651458</v>
      </c>
      <c r="AD56" s="5">
        <f t="shared" si="79"/>
        <v>1611330.8720000002</v>
      </c>
      <c r="AE56" s="5">
        <f t="shared" si="79"/>
        <v>1663721.7579129841</v>
      </c>
      <c r="AF56" s="5">
        <f t="shared" si="79"/>
        <v>1716715.5263831033</v>
      </c>
      <c r="AG56" s="5">
        <f t="shared" si="79"/>
        <v>1757811.2490186912</v>
      </c>
      <c r="AH56" s="5">
        <f t="shared" si="79"/>
        <v>1807947.1006185464</v>
      </c>
      <c r="AI56" s="5">
        <f t="shared" si="79"/>
        <v>1770781.4555124498</v>
      </c>
      <c r="AJ56" s="5">
        <f t="shared" si="79"/>
        <v>1819692.3307425699</v>
      </c>
      <c r="AK56" s="5">
        <f t="shared" si="79"/>
        <v>1780694.5857006116</v>
      </c>
      <c r="AL56" s="5">
        <f t="shared" si="79"/>
        <v>1766782.2774933325</v>
      </c>
      <c r="AM56" s="5">
        <f aca="true" t="shared" si="80" ref="AM56:AS56">AM57+AM58+AM59</f>
        <v>1764864.2869723244</v>
      </c>
      <c r="AN56" s="5">
        <f t="shared" si="80"/>
        <v>1766341.9696222653</v>
      </c>
      <c r="AO56" s="5">
        <f t="shared" si="80"/>
        <v>1792700.1157381884</v>
      </c>
      <c r="AP56" s="5">
        <f t="shared" si="80"/>
        <v>1769844.5491999998</v>
      </c>
      <c r="AQ56" s="5">
        <f t="shared" si="80"/>
        <v>1934207.2217373184</v>
      </c>
      <c r="AR56" s="5">
        <f t="shared" si="80"/>
        <v>1977042.6251911554</v>
      </c>
      <c r="AS56" s="5">
        <f t="shared" si="80"/>
        <v>1952085.032901659</v>
      </c>
      <c r="AT56" s="5">
        <f aca="true" t="shared" si="81" ref="AT56:AY56">AT57+AT58+AT59</f>
        <v>1844235.165</v>
      </c>
      <c r="AU56" s="5">
        <f t="shared" si="81"/>
        <v>1532003.9883313642</v>
      </c>
      <c r="AV56" s="5">
        <f t="shared" si="81"/>
        <v>1680479.6511190508</v>
      </c>
      <c r="AW56" s="5">
        <f t="shared" si="81"/>
        <v>1763038.2373438315</v>
      </c>
      <c r="AX56" s="5">
        <f t="shared" si="81"/>
        <v>2032784.465</v>
      </c>
      <c r="AY56" s="5">
        <f t="shared" si="81"/>
        <v>1862470.7029274926</v>
      </c>
      <c r="AZ56" s="5">
        <f>AZ57+AZ58+AZ59</f>
        <v>1945466.1559230469</v>
      </c>
      <c r="BA56" s="5">
        <f>BA57+BA58+BA59</f>
        <v>2015913.7224606439</v>
      </c>
      <c r="BB56" s="5">
        <f>BB57+BB58+BB59</f>
        <v>1945193.7609141408</v>
      </c>
      <c r="BC56" s="5">
        <f>BC57+BC58+BC59</f>
        <v>2248016.5959145227</v>
      </c>
    </row>
    <row r="57" spans="1:55" s="3" customFormat="1" ht="12.75">
      <c r="A57" s="1" t="s">
        <v>31</v>
      </c>
      <c r="B57" s="7">
        <v>220457</v>
      </c>
      <c r="C57" s="2">
        <v>296471</v>
      </c>
      <c r="D57" s="2">
        <v>383344</v>
      </c>
      <c r="E57" s="2">
        <v>540802</v>
      </c>
      <c r="F57" s="7">
        <v>1352239</v>
      </c>
      <c r="G57" s="7">
        <v>1340448.2473686675</v>
      </c>
      <c r="H57" s="2">
        <v>1326411.9973686675</v>
      </c>
      <c r="I57" s="2">
        <v>1310691.3973686674</v>
      </c>
      <c r="J57" s="2">
        <v>948085</v>
      </c>
      <c r="K57" s="7">
        <v>910161.6</v>
      </c>
      <c r="L57" s="2">
        <v>872238.2000000001</v>
      </c>
      <c r="M57" s="2">
        <v>834314.8</v>
      </c>
      <c r="N57" s="2">
        <v>801141</v>
      </c>
      <c r="O57" s="2">
        <v>1194486.3820480285</v>
      </c>
      <c r="P57" s="7">
        <v>896610.0811526789</v>
      </c>
      <c r="Q57" s="7">
        <v>1194784.4901691799</v>
      </c>
      <c r="R57" s="7">
        <v>1439785.5654643213</v>
      </c>
      <c r="S57" s="7">
        <v>1367997.723260523</v>
      </c>
      <c r="T57" s="7">
        <v>1336337.8825999973</v>
      </c>
      <c r="U57" s="7">
        <v>1344916.545939046</v>
      </c>
      <c r="V57" s="7">
        <v>1318732.7762420862</v>
      </c>
      <c r="W57" s="7">
        <v>1574884.355903979</v>
      </c>
      <c r="X57" s="7">
        <v>1575236.10994878</v>
      </c>
      <c r="Y57" s="7">
        <v>1431042.0759413259</v>
      </c>
      <c r="Z57" s="7">
        <v>1301001.2637</v>
      </c>
      <c r="AA57" s="7">
        <v>1311450.3637917188</v>
      </c>
      <c r="AB57" s="7">
        <v>1347976.1202945632</v>
      </c>
      <c r="AC57" s="7">
        <v>1484546.3631372007</v>
      </c>
      <c r="AD57" s="7">
        <v>1597768.137</v>
      </c>
      <c r="AE57" s="7">
        <v>1650696.9358219823</v>
      </c>
      <c r="AF57" s="7">
        <v>1702976.434141029</v>
      </c>
      <c r="AG57" s="7">
        <v>1744635.7203662216</v>
      </c>
      <c r="AH57" s="7">
        <v>1794589.8136185464</v>
      </c>
      <c r="AI57" s="7">
        <v>1757975.669855505</v>
      </c>
      <c r="AJ57" s="7">
        <v>1805671.5559220081</v>
      </c>
      <c r="AK57" s="7">
        <v>1766562.635552629</v>
      </c>
      <c r="AL57" s="7">
        <v>1752752.4054933325</v>
      </c>
      <c r="AM57" s="7">
        <v>1751189.2085843047</v>
      </c>
      <c r="AN57" s="7">
        <v>1752411.3931627746</v>
      </c>
      <c r="AO57" s="7">
        <v>1779014.682030013</v>
      </c>
      <c r="AP57" s="7">
        <v>1752119.9871999999</v>
      </c>
      <c r="AQ57" s="7">
        <v>1913055.5348005244</v>
      </c>
      <c r="AR57" s="7">
        <v>1954352.6978622857</v>
      </c>
      <c r="AS57" s="7">
        <v>1928655.097599754</v>
      </c>
      <c r="AT57" s="7">
        <v>1819699</v>
      </c>
      <c r="AU57" s="7">
        <v>1506572.44970713</v>
      </c>
      <c r="AV57" s="7">
        <v>1653229.7407114122</v>
      </c>
      <c r="AW57" s="7">
        <v>1735780.8829296294</v>
      </c>
      <c r="AX57" s="7">
        <v>2004572</v>
      </c>
      <c r="AY57" s="7">
        <v>1833969.126553231</v>
      </c>
      <c r="AZ57" s="7">
        <v>1915428.5091443583</v>
      </c>
      <c r="BA57" s="7">
        <v>1985465.6166976911</v>
      </c>
      <c r="BB57" s="7">
        <v>1913480.1138519938</v>
      </c>
      <c r="BC57" s="7">
        <v>2215135.432410978</v>
      </c>
    </row>
    <row r="58" spans="1:55" s="3" customFormat="1" ht="12.75">
      <c r="A58" s="1" t="s">
        <v>48</v>
      </c>
      <c r="B58" s="2">
        <v>9631</v>
      </c>
      <c r="C58" s="2">
        <v>10864</v>
      </c>
      <c r="D58" s="2">
        <v>9750</v>
      </c>
      <c r="E58" s="2">
        <v>9397</v>
      </c>
      <c r="F58" s="2">
        <v>8691</v>
      </c>
      <c r="G58" s="2">
        <v>8190</v>
      </c>
      <c r="H58" s="2">
        <v>7533</v>
      </c>
      <c r="I58" s="2">
        <v>8248</v>
      </c>
      <c r="J58" s="2">
        <v>11173</v>
      </c>
      <c r="K58" s="2">
        <v>11118</v>
      </c>
      <c r="L58" s="2">
        <v>10877</v>
      </c>
      <c r="M58" s="2">
        <v>11137</v>
      </c>
      <c r="N58" s="2">
        <v>10888</v>
      </c>
      <c r="O58" s="2">
        <v>10972</v>
      </c>
      <c r="P58" s="7">
        <v>10994</v>
      </c>
      <c r="Q58" s="7">
        <v>10828</v>
      </c>
      <c r="R58" s="7">
        <v>10569</v>
      </c>
      <c r="S58" s="7">
        <f>10928</f>
        <v>10928</v>
      </c>
      <c r="T58" s="7">
        <f>10838</f>
        <v>10838</v>
      </c>
      <c r="U58" s="7">
        <f>10948</f>
        <v>10948</v>
      </c>
      <c r="V58" s="7">
        <f>11294</f>
        <v>11294</v>
      </c>
      <c r="W58" s="7">
        <f>12536</f>
        <v>12536</v>
      </c>
      <c r="X58" s="7">
        <f>12618</f>
        <v>12618</v>
      </c>
      <c r="Y58" s="7">
        <f>12657</f>
        <v>12657</v>
      </c>
      <c r="Z58" s="7">
        <f>12674</f>
        <v>12674</v>
      </c>
      <c r="AA58" s="7">
        <f>12261</f>
        <v>12261</v>
      </c>
      <c r="AB58" s="7">
        <f>12317</f>
        <v>12317</v>
      </c>
      <c r="AC58" s="7">
        <f>12454</f>
        <v>12454</v>
      </c>
      <c r="AD58" s="7">
        <f>12385</f>
        <v>12385</v>
      </c>
      <c r="AE58" s="7">
        <f>11870</f>
        <v>11870</v>
      </c>
      <c r="AF58" s="7">
        <f>12621</f>
        <v>12621</v>
      </c>
      <c r="AG58" s="7">
        <f>11996</f>
        <v>11996</v>
      </c>
      <c r="AH58" s="7">
        <f>12180</f>
        <v>12180</v>
      </c>
      <c r="AI58" s="7">
        <f>11694</f>
        <v>11694</v>
      </c>
      <c r="AJ58" s="7">
        <f>12735</f>
        <v>12735</v>
      </c>
      <c r="AK58" s="7">
        <f>12875</f>
        <v>12875</v>
      </c>
      <c r="AL58" s="7">
        <f>12846</f>
        <v>12846</v>
      </c>
      <c r="AM58" s="7">
        <f>12405</f>
        <v>12405</v>
      </c>
      <c r="AN58" s="7">
        <f>12678</f>
        <v>12678</v>
      </c>
      <c r="AO58" s="7">
        <f>12378</f>
        <v>12378</v>
      </c>
      <c r="AP58" s="7">
        <f>16487</f>
        <v>16487</v>
      </c>
      <c r="AQ58" s="7">
        <v>19559</v>
      </c>
      <c r="AR58" s="7">
        <v>21038</v>
      </c>
      <c r="AS58" s="7">
        <v>21604</v>
      </c>
      <c r="AT58" s="7">
        <v>22491</v>
      </c>
      <c r="AU58" s="7">
        <v>23456</v>
      </c>
      <c r="AV58" s="7">
        <f>25540+153</f>
        <v>25693</v>
      </c>
      <c r="AW58" s="7">
        <v>25846.7</v>
      </c>
      <c r="AX58" s="7">
        <v>26494.27</v>
      </c>
      <c r="AY58" s="7">
        <v>26934.89</v>
      </c>
      <c r="AZ58" s="7">
        <v>28713</v>
      </c>
      <c r="BA58" s="7">
        <v>28979</v>
      </c>
      <c r="BB58" s="7">
        <v>30073</v>
      </c>
      <c r="BC58" s="7">
        <v>31244</v>
      </c>
    </row>
    <row r="59" spans="1:55" s="3" customFormat="1" ht="12.75">
      <c r="A59" s="1" t="s">
        <v>49</v>
      </c>
      <c r="B59" s="2"/>
      <c r="C59" s="2"/>
      <c r="D59" s="2"/>
      <c r="E59" s="2"/>
      <c r="F59" s="2"/>
      <c r="G59" s="2"/>
      <c r="H59" s="2"/>
      <c r="I59" s="2"/>
      <c r="J59" s="2">
        <v>18843</v>
      </c>
      <c r="K59" s="2">
        <v>18655</v>
      </c>
      <c r="L59" s="2">
        <v>18466</v>
      </c>
      <c r="M59" s="2">
        <v>18278</v>
      </c>
      <c r="N59" s="2">
        <v>18146</v>
      </c>
      <c r="O59" s="2">
        <v>16712.0698420624</v>
      </c>
      <c r="P59" s="7">
        <v>15044.418942057298</v>
      </c>
      <c r="Q59" s="7">
        <v>13318.283955195799</v>
      </c>
      <c r="R59" s="7">
        <v>12038.367999999999</v>
      </c>
      <c r="S59" s="7">
        <f>3088.49387931878</f>
        <v>3088.49387931878</v>
      </c>
      <c r="T59" s="7">
        <f>3079.05072854758</f>
        <v>3079.05072854758</v>
      </c>
      <c r="U59" s="7">
        <f>3103.96429839711</f>
        <v>3103.96429839711</v>
      </c>
      <c r="V59" s="7">
        <f>3140.098</f>
        <v>3140.098</v>
      </c>
      <c r="W59" s="7">
        <f>2845.20894726935</f>
        <v>2845.20894726935</v>
      </c>
      <c r="X59" s="7">
        <f>2585.1178254052</f>
        <v>2585.1178254052</v>
      </c>
      <c r="Y59" s="7">
        <f>2302.3122491173</f>
        <v>2302.3122491173</v>
      </c>
      <c r="Z59" s="7">
        <f>2041.16</f>
        <v>2041.16</v>
      </c>
      <c r="AA59" s="7">
        <f>1924.18255816064</f>
        <v>1924.18255816064</v>
      </c>
      <c r="AB59" s="7">
        <f>1743.86714494899</f>
        <v>1743.86714494899</v>
      </c>
      <c r="AC59" s="7">
        <f>1653.67651425722</f>
        <v>1653.67651425722</v>
      </c>
      <c r="AD59" s="7">
        <f>1177.735</f>
        <v>1177.735</v>
      </c>
      <c r="AE59" s="7">
        <v>1154.8220910016844</v>
      </c>
      <c r="AF59" s="7">
        <v>1118.092242074517</v>
      </c>
      <c r="AG59" s="7">
        <v>1179.528652469577</v>
      </c>
      <c r="AH59" s="7">
        <v>1177.2870000000003</v>
      </c>
      <c r="AI59" s="7">
        <v>1111.7856569448675</v>
      </c>
      <c r="AJ59" s="7">
        <v>1285.7748205616676</v>
      </c>
      <c r="AK59" s="7">
        <v>1256.9501479825728</v>
      </c>
      <c r="AL59" s="7">
        <v>1183.8719999999994</v>
      </c>
      <c r="AM59" s="7">
        <v>1270.078388019679</v>
      </c>
      <c r="AN59" s="7">
        <v>1252.5764594906154</v>
      </c>
      <c r="AO59" s="7">
        <v>1307.4337081752667</v>
      </c>
      <c r="AP59" s="7">
        <v>1237.5619999999178</v>
      </c>
      <c r="AQ59" s="7">
        <v>1592.6869367939883</v>
      </c>
      <c r="AR59" s="7">
        <v>1651.9273288696502</v>
      </c>
      <c r="AS59" s="7">
        <v>1825.9353019048256</v>
      </c>
      <c r="AT59" s="7">
        <v>2045.1650000000009</v>
      </c>
      <c r="AU59" s="7">
        <v>1975.538624234376</v>
      </c>
      <c r="AV59" s="7">
        <v>1556.910407638566</v>
      </c>
      <c r="AW59" s="7">
        <v>1410.6544142020289</v>
      </c>
      <c r="AX59" s="7">
        <v>1718.195</v>
      </c>
      <c r="AY59" s="7">
        <v>1566.686374261768</v>
      </c>
      <c r="AZ59" s="7">
        <v>1324.646778688563</v>
      </c>
      <c r="BA59" s="7">
        <v>1469.105762952788</v>
      </c>
      <c r="BB59" s="7">
        <v>1640.64706214697</v>
      </c>
      <c r="BC59" s="7">
        <v>1637.1635035447794</v>
      </c>
    </row>
    <row r="60" spans="1:55" s="3" customFormat="1" ht="12.75">
      <c r="A60" s="4" t="s">
        <v>18</v>
      </c>
      <c r="B60" s="5"/>
      <c r="C60" s="5"/>
      <c r="D60" s="5"/>
      <c r="E60" s="5"/>
      <c r="F60" s="5"/>
      <c r="G60" s="5"/>
      <c r="H60" s="5"/>
      <c r="I60" s="5"/>
      <c r="J60" s="5"/>
      <c r="K60" s="5"/>
      <c r="L60" s="7"/>
      <c r="M60" s="7"/>
      <c r="N60" s="7"/>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1:55" s="3" customFormat="1" ht="12.75">
      <c r="A61" s="4" t="s">
        <v>27</v>
      </c>
      <c r="B61" s="2">
        <v>697</v>
      </c>
      <c r="C61" s="2"/>
      <c r="D61" s="2"/>
      <c r="E61" s="2"/>
      <c r="F61" s="2"/>
      <c r="G61" s="2"/>
      <c r="H61" s="2"/>
      <c r="I61" s="2"/>
      <c r="J61" s="2"/>
      <c r="K61" s="2"/>
      <c r="L61" s="2"/>
      <c r="M61" s="2"/>
      <c r="N61" s="2"/>
      <c r="O61" s="2"/>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s="3" customFormat="1" ht="12.75">
      <c r="A62" s="4" t="s">
        <v>24</v>
      </c>
      <c r="B62" s="2"/>
      <c r="C62" s="2"/>
      <c r="D62" s="2"/>
      <c r="E62" s="2"/>
      <c r="F62" s="2"/>
      <c r="G62" s="2"/>
      <c r="H62" s="2"/>
      <c r="I62" s="2"/>
      <c r="J62" s="2"/>
      <c r="K62" s="2"/>
      <c r="L62" s="2"/>
      <c r="M62" s="2"/>
      <c r="N62" s="2"/>
      <c r="O62" s="2"/>
      <c r="P62" s="7"/>
      <c r="Q62" s="7"/>
      <c r="R62" s="7"/>
      <c r="S62" s="5">
        <v>166476.1608434677</v>
      </c>
      <c r="T62" s="5">
        <v>198018.59544264394</v>
      </c>
      <c r="U62" s="5">
        <v>236815.41829791697</v>
      </c>
      <c r="V62" s="5">
        <v>272178.23276503256</v>
      </c>
      <c r="W62" s="5">
        <v>159923.48499027372</v>
      </c>
      <c r="X62" s="5">
        <v>18057.042434214498</v>
      </c>
      <c r="Y62" s="5">
        <v>421481.606788509</v>
      </c>
      <c r="Z62" s="5">
        <v>788055.5210472943</v>
      </c>
      <c r="AA62" s="5">
        <v>821941.4721786582</v>
      </c>
      <c r="AB62" s="5">
        <v>880807.2055942869</v>
      </c>
      <c r="AC62" s="5">
        <v>947586.3644092506</v>
      </c>
      <c r="AD62" s="5">
        <v>842528.3097</v>
      </c>
      <c r="AE62" s="5">
        <v>836345.9576755501</v>
      </c>
      <c r="AF62" s="5">
        <v>822077.6102988829</v>
      </c>
      <c r="AG62" s="5">
        <v>811192.0231627587</v>
      </c>
      <c r="AH62" s="5">
        <v>817519.2676571332</v>
      </c>
      <c r="AI62" s="5">
        <v>833204.7451974748</v>
      </c>
      <c r="AJ62" s="5">
        <v>898253.1655342584</v>
      </c>
      <c r="AK62" s="5">
        <v>918098.715412429</v>
      </c>
      <c r="AL62" s="5">
        <v>943500.5603436828</v>
      </c>
      <c r="AM62" s="5">
        <v>988573.2568775892</v>
      </c>
      <c r="AN62" s="5">
        <v>1043234.6437751165</v>
      </c>
      <c r="AO62" s="5">
        <v>1106554.1888876022</v>
      </c>
      <c r="AP62" s="5">
        <v>1149901.9418</v>
      </c>
      <c r="AQ62" s="5">
        <v>1242247.2690778547</v>
      </c>
      <c r="AR62" s="5">
        <v>1281445.4429262637</v>
      </c>
      <c r="AS62" s="5">
        <v>1236346.0526725913</v>
      </c>
      <c r="AT62" s="5">
        <v>580557</v>
      </c>
      <c r="AU62" s="5">
        <v>699548.4784830275</v>
      </c>
      <c r="AV62" s="5">
        <v>915775.5904091847</v>
      </c>
      <c r="AW62" s="5">
        <v>922419.3406062195</v>
      </c>
      <c r="AX62" s="5">
        <v>751535</v>
      </c>
      <c r="AY62" s="5">
        <v>975739.1219649684</v>
      </c>
      <c r="AZ62" s="5">
        <v>1014561.6118633514</v>
      </c>
      <c r="BA62" s="5">
        <v>1008910.1579255289</v>
      </c>
      <c r="BB62" s="5">
        <v>1185159.762132649</v>
      </c>
      <c r="BC62" s="5">
        <v>1270946.5458125558</v>
      </c>
    </row>
    <row r="63" spans="1:55" s="3" customFormat="1" ht="12.75">
      <c r="A63" s="1" t="s">
        <v>31</v>
      </c>
      <c r="B63" s="5"/>
      <c r="C63" s="5"/>
      <c r="D63" s="5"/>
      <c r="E63" s="5"/>
      <c r="F63" s="5"/>
      <c r="G63" s="5"/>
      <c r="H63" s="5"/>
      <c r="I63" s="5"/>
      <c r="J63" s="5"/>
      <c r="K63" s="5"/>
      <c r="L63" s="14"/>
      <c r="M63" s="14"/>
      <c r="N63" s="14"/>
      <c r="O63" s="5"/>
      <c r="P63" s="5"/>
      <c r="Q63" s="5"/>
      <c r="R63" s="5"/>
      <c r="S63" s="7">
        <v>166476.1608434677</v>
      </c>
      <c r="T63" s="7">
        <v>198018.59544264394</v>
      </c>
      <c r="U63" s="7">
        <v>236815.41829791697</v>
      </c>
      <c r="V63" s="7">
        <v>272178.23276503256</v>
      </c>
      <c r="W63" s="7">
        <v>159923.48499027372</v>
      </c>
      <c r="X63" s="7">
        <v>18057.042434214498</v>
      </c>
      <c r="Y63" s="7">
        <v>421481.606788509</v>
      </c>
      <c r="Z63" s="7">
        <v>788055.5210472943</v>
      </c>
      <c r="AA63" s="7">
        <v>821941.4721786582</v>
      </c>
      <c r="AB63" s="7">
        <v>880807.2055942869</v>
      </c>
      <c r="AC63" s="7">
        <v>947586.3644092506</v>
      </c>
      <c r="AD63" s="7">
        <v>842528.3097</v>
      </c>
      <c r="AE63" s="7">
        <v>836345.9576755501</v>
      </c>
      <c r="AF63" s="7">
        <v>822077.6102988829</v>
      </c>
      <c r="AG63" s="7">
        <v>811192.0231627587</v>
      </c>
      <c r="AH63" s="7">
        <v>817519.2676571332</v>
      </c>
      <c r="AI63" s="7">
        <v>833204.7451974748</v>
      </c>
      <c r="AJ63" s="7">
        <v>898253.1655342584</v>
      </c>
      <c r="AK63" s="7">
        <v>918098.715412429</v>
      </c>
      <c r="AL63" s="7">
        <v>943500.5603436828</v>
      </c>
      <c r="AM63" s="7">
        <v>988573.2568775892</v>
      </c>
      <c r="AN63" s="7">
        <v>1043234.6437751165</v>
      </c>
      <c r="AO63" s="7">
        <v>1106554.1888876022</v>
      </c>
      <c r="AP63" s="7">
        <v>1149901.9418</v>
      </c>
      <c r="AQ63" s="7">
        <v>1242247.2690778547</v>
      </c>
      <c r="AR63" s="7">
        <v>1281445.4429262637</v>
      </c>
      <c r="AS63" s="7">
        <v>1236346.0526725913</v>
      </c>
      <c r="AT63" s="7">
        <v>580557</v>
      </c>
      <c r="AU63" s="7">
        <v>699548.4784830275</v>
      </c>
      <c r="AV63" s="7">
        <v>915775.5904091847</v>
      </c>
      <c r="AW63" s="7">
        <v>922419.3406062195</v>
      </c>
      <c r="AX63" s="7">
        <v>751535</v>
      </c>
      <c r="AY63" s="7">
        <v>975739.1219649684</v>
      </c>
      <c r="AZ63" s="7">
        <v>1014561.6118633514</v>
      </c>
      <c r="BA63" s="7">
        <v>1008910.1579255289</v>
      </c>
      <c r="BB63" s="7">
        <v>1185159.762132649</v>
      </c>
      <c r="BC63" s="7">
        <v>1270946.5458125558</v>
      </c>
    </row>
    <row r="64" spans="1:55" s="3" customFormat="1" ht="25.5">
      <c r="A64" s="4" t="s">
        <v>28</v>
      </c>
      <c r="B64" s="5"/>
      <c r="C64" s="5"/>
      <c r="D64" s="5"/>
      <c r="E64" s="5"/>
      <c r="F64" s="5"/>
      <c r="G64" s="5"/>
      <c r="H64" s="5"/>
      <c r="I64" s="5"/>
      <c r="J64" s="5"/>
      <c r="K64" s="5"/>
      <c r="L64" s="14"/>
      <c r="M64" s="14"/>
      <c r="N64" s="14"/>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row>
    <row r="65" spans="1:55" s="3" customFormat="1" ht="12.75">
      <c r="A65" s="4" t="s">
        <v>29</v>
      </c>
      <c r="B65" s="8">
        <v>2977141</v>
      </c>
      <c r="C65" s="8">
        <v>2929617</v>
      </c>
      <c r="D65" s="8">
        <v>2872236</v>
      </c>
      <c r="E65" s="8">
        <v>2768231</v>
      </c>
      <c r="F65" s="8">
        <v>2627221</v>
      </c>
      <c r="G65" s="8">
        <v>3862818.1099999994</v>
      </c>
      <c r="H65" s="8">
        <v>4228390.859999999</v>
      </c>
      <c r="I65" s="8">
        <v>4637832.34</v>
      </c>
      <c r="J65" s="8">
        <v>5078701</v>
      </c>
      <c r="K65" s="8">
        <v>5190688.3</v>
      </c>
      <c r="L65" s="8">
        <v>5302675.6</v>
      </c>
      <c r="M65" s="8">
        <v>5414663.9</v>
      </c>
      <c r="N65" s="8">
        <v>5521928</v>
      </c>
      <c r="O65" s="8">
        <f>O66+O67</f>
        <v>4933276.890346721</v>
      </c>
      <c r="P65" s="8">
        <f aca="true" t="shared" si="82" ref="P65:X65">P66+P67</f>
        <v>4499241.701965007</v>
      </c>
      <c r="Q65" s="8">
        <f t="shared" si="82"/>
        <v>4016565.5477754646</v>
      </c>
      <c r="R65" s="8">
        <f t="shared" si="82"/>
        <v>3461072.0645957314</v>
      </c>
      <c r="S65" s="8">
        <f t="shared" si="82"/>
        <v>3213866.9745222763</v>
      </c>
      <c r="T65" s="8">
        <f t="shared" si="82"/>
        <v>2966222.5506381346</v>
      </c>
      <c r="U65" s="8">
        <f t="shared" si="82"/>
        <v>2851433.0258517084</v>
      </c>
      <c r="V65" s="8">
        <f t="shared" si="82"/>
        <v>2585700.665316787</v>
      </c>
      <c r="W65" s="8">
        <f t="shared" si="82"/>
        <v>3179212.7588665043</v>
      </c>
      <c r="X65" s="8">
        <f t="shared" si="82"/>
        <v>3276819.051159204</v>
      </c>
      <c r="Y65" s="8">
        <f aca="true" t="shared" si="83" ref="Y65:AD65">Y66+Y67</f>
        <v>3460612.5318816444</v>
      </c>
      <c r="Z65" s="8">
        <f t="shared" si="83"/>
        <v>3650001.1448145607</v>
      </c>
      <c r="AA65" s="8">
        <f t="shared" si="83"/>
        <v>3662340.362553671</v>
      </c>
      <c r="AB65" s="8">
        <f t="shared" si="83"/>
        <v>3755035.071842177</v>
      </c>
      <c r="AC65" s="8">
        <f t="shared" si="83"/>
        <v>3838549.4628779558</v>
      </c>
      <c r="AD65" s="8">
        <f t="shared" si="83"/>
        <v>3893492.707907931</v>
      </c>
      <c r="AE65" s="8">
        <f aca="true" t="shared" si="84" ref="AE65:AJ65">AE66+AE67</f>
        <v>4008806.8844066467</v>
      </c>
      <c r="AF65" s="8">
        <f t="shared" si="84"/>
        <v>4079852.192103071</v>
      </c>
      <c r="AG65" s="8">
        <f t="shared" si="84"/>
        <v>4149139.86613226</v>
      </c>
      <c r="AH65" s="8">
        <f t="shared" si="84"/>
        <v>4278206.484049675</v>
      </c>
      <c r="AI65" s="8">
        <f t="shared" si="84"/>
        <v>4311468.080354068</v>
      </c>
      <c r="AJ65" s="8">
        <f t="shared" si="84"/>
        <v>4538182.734238127</v>
      </c>
      <c r="AK65" s="8">
        <f aca="true" t="shared" si="85" ref="AK65:AQ65">AK66+AK67</f>
        <v>4554645.114383105</v>
      </c>
      <c r="AL65" s="8">
        <f t="shared" si="85"/>
        <v>4623668.018226267</v>
      </c>
      <c r="AM65" s="8">
        <f t="shared" si="85"/>
        <v>4568944.01993994</v>
      </c>
      <c r="AN65" s="8">
        <f t="shared" si="85"/>
        <v>4492249.380274131</v>
      </c>
      <c r="AO65" s="8">
        <f t="shared" si="85"/>
        <v>4484971.56611498</v>
      </c>
      <c r="AP65" s="8">
        <f t="shared" si="85"/>
        <v>4338877.69443</v>
      </c>
      <c r="AQ65" s="8">
        <f t="shared" si="85"/>
        <v>5170409.054672777</v>
      </c>
      <c r="AR65" s="8">
        <f aca="true" t="shared" si="86" ref="AR65:AW65">AR66+AR67</f>
        <v>3090666.634489154</v>
      </c>
      <c r="AS65" s="8">
        <f t="shared" si="86"/>
        <v>3921930.9646383864</v>
      </c>
      <c r="AT65" s="8">
        <f t="shared" si="86"/>
        <v>3434272.718837145</v>
      </c>
      <c r="AU65" s="8">
        <f t="shared" si="86"/>
        <v>3242707.2485838174</v>
      </c>
      <c r="AV65" s="8">
        <f t="shared" si="86"/>
        <v>3522020.161292149</v>
      </c>
      <c r="AW65" s="8">
        <f t="shared" si="86"/>
        <v>3621705.7860113555</v>
      </c>
      <c r="AX65" s="8">
        <f>AX66+AX67</f>
        <v>3731695.98341993</v>
      </c>
      <c r="AY65" s="8">
        <f>AY66+AY67</f>
        <v>4076568.5052156607</v>
      </c>
      <c r="AZ65" s="8">
        <f>AZ66+AZ67</f>
        <v>4090263.9976095427</v>
      </c>
      <c r="BA65" s="8">
        <f>BA66+BA67</f>
        <v>4152554.375444543</v>
      </c>
      <c r="BB65" s="8">
        <f>BB66+BB67</f>
        <v>3996050.614585605</v>
      </c>
      <c r="BC65" s="8">
        <f>BC66+BC67</f>
        <v>4531813.893477984</v>
      </c>
    </row>
    <row r="66" spans="1:55" s="3" customFormat="1" ht="12.75">
      <c r="A66" s="1" t="s">
        <v>31</v>
      </c>
      <c r="B66" s="2">
        <v>2970807</v>
      </c>
      <c r="C66" s="2">
        <v>2929617</v>
      </c>
      <c r="D66" s="2">
        <v>2872236</v>
      </c>
      <c r="E66" s="2">
        <v>2768231</v>
      </c>
      <c r="F66" s="2">
        <v>2617191</v>
      </c>
      <c r="G66" s="2">
        <v>3862818.1099999994</v>
      </c>
      <c r="H66" s="2">
        <v>4228390.859999999</v>
      </c>
      <c r="I66" s="2">
        <v>4637832.34</v>
      </c>
      <c r="J66" s="2">
        <v>5069555</v>
      </c>
      <c r="K66" s="2">
        <v>5181085</v>
      </c>
      <c r="L66" s="2">
        <v>5292615</v>
      </c>
      <c r="M66" s="2">
        <v>5404146</v>
      </c>
      <c r="N66" s="2">
        <v>5510858</v>
      </c>
      <c r="O66" s="2">
        <v>4921210.590346721</v>
      </c>
      <c r="P66" s="7">
        <v>4485003.467965007</v>
      </c>
      <c r="Q66" s="7">
        <v>3998482.9905954646</v>
      </c>
      <c r="R66" s="7">
        <v>3445992.6865957314</v>
      </c>
      <c r="S66" s="7">
        <v>3206137.706050069</v>
      </c>
      <c r="T66" s="7">
        <v>2958267.0849920087</v>
      </c>
      <c r="U66" s="7">
        <v>2843099.9033746202</v>
      </c>
      <c r="V66" s="7">
        <v>2576908.52821835</v>
      </c>
      <c r="W66" s="7">
        <v>3169683.510182292</v>
      </c>
      <c r="X66" s="7">
        <v>3265876.141002857</v>
      </c>
      <c r="Y66" s="7">
        <v>3448956.4666629517</v>
      </c>
      <c r="Z66" s="7">
        <v>3637420.0058145607</v>
      </c>
      <c r="AA66" s="7">
        <v>3648861.859621141</v>
      </c>
      <c r="AB66" s="7">
        <v>3741628.843074969</v>
      </c>
      <c r="AC66" s="7">
        <v>3824149.8671902544</v>
      </c>
      <c r="AD66" s="7">
        <v>3880350.861907931</v>
      </c>
      <c r="AE66" s="7">
        <v>3995904.2590967263</v>
      </c>
      <c r="AF66" s="7">
        <v>4067419.2624908434</v>
      </c>
      <c r="AG66" s="7">
        <v>4134242.2286949214</v>
      </c>
      <c r="AH66" s="7">
        <v>4262077.605904675</v>
      </c>
      <c r="AI66" s="7">
        <v>4295925.6936581535</v>
      </c>
      <c r="AJ66" s="7">
        <v>4522722.15197091</v>
      </c>
      <c r="AK66" s="7">
        <v>4539520.319494247</v>
      </c>
      <c r="AL66" s="7">
        <v>4608796.467226267</v>
      </c>
      <c r="AM66" s="7">
        <v>4553983.15869892</v>
      </c>
      <c r="AN66" s="7">
        <v>4477558.256521734</v>
      </c>
      <c r="AO66" s="7">
        <v>4470377.374096229</v>
      </c>
      <c r="AP66" s="7">
        <v>4324594.6158</v>
      </c>
      <c r="AQ66" s="7">
        <v>5155521.247989132</v>
      </c>
      <c r="AR66" s="7">
        <v>3075177.049274461</v>
      </c>
      <c r="AS66" s="7">
        <v>3905904.695086627</v>
      </c>
      <c r="AT66" s="7">
        <v>3417762</v>
      </c>
      <c r="AU66" s="7">
        <v>3226121.282377387</v>
      </c>
      <c r="AV66" s="7">
        <v>3504351.020194189</v>
      </c>
      <c r="AW66" s="7">
        <v>3603666.7298121457</v>
      </c>
      <c r="AX66" s="7">
        <v>3712362</v>
      </c>
      <c r="AY66" s="7">
        <v>4057131.1681432147</v>
      </c>
      <c r="AZ66" s="7">
        <v>4070892.3689966765</v>
      </c>
      <c r="BA66" s="7">
        <v>4132961.604086597</v>
      </c>
      <c r="BB66" s="7">
        <v>3976479.0412931256</v>
      </c>
      <c r="BC66" s="7">
        <v>4511885.052438725</v>
      </c>
    </row>
    <row r="67" spans="1:55" s="3" customFormat="1" ht="15.75" customHeight="1">
      <c r="A67" s="1" t="s">
        <v>32</v>
      </c>
      <c r="B67" s="2">
        <v>6334</v>
      </c>
      <c r="C67" s="8"/>
      <c r="D67" s="8"/>
      <c r="E67" s="8"/>
      <c r="F67" s="2">
        <v>10030</v>
      </c>
      <c r="G67" s="8"/>
      <c r="H67" s="8"/>
      <c r="I67" s="8"/>
      <c r="J67" s="2">
        <v>9146</v>
      </c>
      <c r="K67" s="2">
        <v>9603.300000000001</v>
      </c>
      <c r="L67" s="2">
        <v>10060.6</v>
      </c>
      <c r="M67" s="2">
        <v>10517.9</v>
      </c>
      <c r="N67" s="2">
        <v>11070</v>
      </c>
      <c r="O67" s="2">
        <v>12066.300000000001</v>
      </c>
      <c r="P67" s="7">
        <v>14238.234</v>
      </c>
      <c r="Q67" s="7">
        <v>18082.55718</v>
      </c>
      <c r="R67" s="7">
        <v>15079.378</v>
      </c>
      <c r="S67" s="7">
        <v>7729.268472207446</v>
      </c>
      <c r="T67" s="7">
        <v>7955.465646125997</v>
      </c>
      <c r="U67" s="7">
        <v>8333.122477088327</v>
      </c>
      <c r="V67" s="7">
        <v>8792.137098437071</v>
      </c>
      <c r="W67" s="7">
        <v>9529.248684212294</v>
      </c>
      <c r="X67" s="7">
        <v>10942.910156346847</v>
      </c>
      <c r="Y67" s="7">
        <v>11656.065218692416</v>
      </c>
      <c r="Z67" s="7">
        <v>12581.139</v>
      </c>
      <c r="AA67" s="7">
        <v>13478.50293252997</v>
      </c>
      <c r="AB67" s="7">
        <v>13406.228767207987</v>
      </c>
      <c r="AC67" s="7">
        <v>14399.595687701298</v>
      </c>
      <c r="AD67" s="7">
        <v>13141.846</v>
      </c>
      <c r="AE67" s="7">
        <v>12902.625309920302</v>
      </c>
      <c r="AF67" s="7">
        <v>12432.929612227632</v>
      </c>
      <c r="AG67" s="7">
        <v>14897.637437338559</v>
      </c>
      <c r="AH67" s="7">
        <v>16128.878144999999</v>
      </c>
      <c r="AI67" s="7">
        <v>15542.386695914985</v>
      </c>
      <c r="AJ67" s="7">
        <v>15460.582267217243</v>
      </c>
      <c r="AK67" s="7">
        <v>15124.794888857587</v>
      </c>
      <c r="AL67" s="7">
        <v>14871.551</v>
      </c>
      <c r="AM67" s="7">
        <v>14960.861241020128</v>
      </c>
      <c r="AN67" s="7">
        <v>14691.123752396703</v>
      </c>
      <c r="AO67" s="7">
        <v>14594.19201875136</v>
      </c>
      <c r="AP67" s="7">
        <v>14283.078630000351</v>
      </c>
      <c r="AQ67" s="7">
        <v>14887.806683644545</v>
      </c>
      <c r="AR67" s="7">
        <v>15489.585214693298</v>
      </c>
      <c r="AS67" s="7">
        <v>16026.26955175971</v>
      </c>
      <c r="AT67" s="7">
        <v>16510.718837144785</v>
      </c>
      <c r="AU67" s="7">
        <v>16585.966206430294</v>
      </c>
      <c r="AV67" s="7">
        <v>17669.14109795985</v>
      </c>
      <c r="AW67" s="7">
        <v>18039.056199209852</v>
      </c>
      <c r="AX67" s="7">
        <v>19333.98341992998</v>
      </c>
      <c r="AY67" s="7">
        <v>19437.337072445982</v>
      </c>
      <c r="AZ67" s="7">
        <v>19371.62861286598</v>
      </c>
      <c r="BA67" s="7">
        <v>19592.77135794598</v>
      </c>
      <c r="BB67" s="7">
        <v>19571.57329247948</v>
      </c>
      <c r="BC67" s="7">
        <v>19928.841039258677</v>
      </c>
    </row>
    <row r="68" spans="1:55" s="3" customFormat="1" ht="15.75" customHeight="1">
      <c r="A68" s="4" t="s">
        <v>30</v>
      </c>
      <c r="B68" s="5"/>
      <c r="C68" s="5"/>
      <c r="D68" s="5"/>
      <c r="E68" s="5"/>
      <c r="F68" s="5"/>
      <c r="G68" s="5"/>
      <c r="H68" s="5"/>
      <c r="I68" s="5"/>
      <c r="J68" s="5"/>
      <c r="K68" s="5"/>
      <c r="L68" s="14"/>
      <c r="M68" s="14"/>
      <c r="N68" s="14"/>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row>
    <row r="69" spans="1:55" s="3" customFormat="1" ht="15.75" customHeight="1">
      <c r="A69" s="4"/>
      <c r="B69" s="5"/>
      <c r="C69" s="5"/>
      <c r="D69" s="5"/>
      <c r="E69" s="5"/>
      <c r="F69" s="5"/>
      <c r="G69" s="5"/>
      <c r="H69" s="5"/>
      <c r="I69" s="5"/>
      <c r="J69" s="5"/>
      <c r="K69" s="5"/>
      <c r="L69" s="14"/>
      <c r="M69" s="14"/>
      <c r="N69" s="14"/>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row>
    <row r="70" spans="1:55" s="3" customFormat="1" ht="15.75" customHeight="1">
      <c r="A70" s="13" t="s">
        <v>58</v>
      </c>
      <c r="B70" s="13">
        <f aca="true" t="shared" si="87" ref="B70:R70">B5+B18+B31+B44</f>
        <v>4394304.1</v>
      </c>
      <c r="C70" s="13">
        <f t="shared" si="87"/>
        <v>4439477.5</v>
      </c>
      <c r="D70" s="13">
        <f t="shared" si="87"/>
        <v>4525670.1</v>
      </c>
      <c r="E70" s="13">
        <f t="shared" si="87"/>
        <v>4636338.2</v>
      </c>
      <c r="F70" s="13">
        <f t="shared" si="87"/>
        <v>5375739.1</v>
      </c>
      <c r="G70" s="13">
        <f t="shared" si="87"/>
        <v>6334973.378368666</v>
      </c>
      <c r="H70" s="13">
        <f t="shared" si="87"/>
        <v>6413958.028368667</v>
      </c>
      <c r="I70" s="13">
        <f t="shared" si="87"/>
        <v>6561233.057368668</v>
      </c>
      <c r="J70" s="13">
        <f t="shared" si="87"/>
        <v>6808481.22</v>
      </c>
      <c r="K70" s="13">
        <f t="shared" si="87"/>
        <v>6903020.604</v>
      </c>
      <c r="L70" s="13">
        <f t="shared" si="87"/>
        <v>7025753.408</v>
      </c>
      <c r="M70" s="13">
        <f t="shared" si="87"/>
        <v>7105906.808958564</v>
      </c>
      <c r="N70" s="13">
        <f t="shared" si="87"/>
        <v>7211863.1</v>
      </c>
      <c r="O70" s="13">
        <f t="shared" si="87"/>
        <v>6964985.483059373</v>
      </c>
      <c r="P70" s="13">
        <f t="shared" si="87"/>
        <v>6209271.054280084</v>
      </c>
      <c r="Q70" s="13">
        <f t="shared" si="87"/>
        <v>5974161.773351006</v>
      </c>
      <c r="R70" s="13">
        <f t="shared" si="87"/>
        <v>5606831.787636691</v>
      </c>
      <c r="S70" s="13">
        <f aca="true" t="shared" si="88" ref="S70:Z70">S5+S18+S31+S44</f>
        <v>5401102.481441577</v>
      </c>
      <c r="T70" s="13">
        <f t="shared" si="88"/>
        <v>5068052.099833104</v>
      </c>
      <c r="U70" s="13">
        <f t="shared" si="88"/>
        <v>4982330.775895032</v>
      </c>
      <c r="V70" s="13">
        <f t="shared" si="88"/>
        <v>4681813.708386258</v>
      </c>
      <c r="W70" s="13">
        <f t="shared" si="88"/>
        <v>5532105.555750787</v>
      </c>
      <c r="X70" s="13">
        <f t="shared" si="88"/>
        <v>5515448.171322638</v>
      </c>
      <c r="Y70" s="13">
        <f t="shared" si="88"/>
        <v>6011373.256167669</v>
      </c>
      <c r="Z70" s="13">
        <f t="shared" si="88"/>
        <v>6497238.558661686</v>
      </c>
      <c r="AA70" s="13">
        <f aca="true" t="shared" si="89" ref="AA70:AF70">AA5+AA18+AA31+AA44</f>
        <v>6557249.79158947</v>
      </c>
      <c r="AB70" s="13">
        <f t="shared" si="89"/>
        <v>6734268.0198086705</v>
      </c>
      <c r="AC70" s="13">
        <f t="shared" si="89"/>
        <v>6998481.117683689</v>
      </c>
      <c r="AD70" s="13">
        <f t="shared" si="89"/>
        <v>7064581.4631477045</v>
      </c>
      <c r="AE70" s="13">
        <f t="shared" si="89"/>
        <v>7250684.099939958</v>
      </c>
      <c r="AF70" s="13">
        <f t="shared" si="89"/>
        <v>7370642.98550717</v>
      </c>
      <c r="AG70" s="13">
        <f aca="true" t="shared" si="90" ref="AG70:AL70">AG5+AG18+AG31+AG44</f>
        <v>7485575.13947134</v>
      </c>
      <c r="AH70" s="13">
        <f t="shared" si="90"/>
        <v>7694271.442790859</v>
      </c>
      <c r="AI70" s="13">
        <f t="shared" si="90"/>
        <v>7708095.7542002555</v>
      </c>
      <c r="AJ70" s="13">
        <f t="shared" si="90"/>
        <v>8017816.252953267</v>
      </c>
      <c r="AK70" s="13">
        <f t="shared" si="90"/>
        <v>7998449.66056788</v>
      </c>
      <c r="AL70" s="13">
        <f t="shared" si="90"/>
        <v>8084355.930324749</v>
      </c>
      <c r="AM70" s="13">
        <f aca="true" t="shared" si="91" ref="AM70:AR70">AM5+AM18+AM31+AM44</f>
        <v>8084055.828510816</v>
      </c>
      <c r="AN70" s="13">
        <f t="shared" si="91"/>
        <v>8078930.761106029</v>
      </c>
      <c r="AO70" s="13">
        <f t="shared" si="91"/>
        <v>8183232.510224715</v>
      </c>
      <c r="AP70" s="13">
        <f t="shared" si="91"/>
        <v>8082482.995126508</v>
      </c>
      <c r="AQ70" s="13">
        <f t="shared" si="91"/>
        <v>9223996.985697426</v>
      </c>
      <c r="AR70" s="13">
        <f t="shared" si="91"/>
        <v>7307878.445153575</v>
      </c>
      <c r="AS70" s="13">
        <f aca="true" t="shared" si="92" ref="AS70:AX70">AS5+AS18+AS31+AS44</f>
        <v>8073769.691041804</v>
      </c>
      <c r="AT70" s="13">
        <f t="shared" si="92"/>
        <v>6578171.379364636</v>
      </c>
      <c r="AU70" s="13">
        <f t="shared" si="92"/>
        <v>6286074.655085862</v>
      </c>
      <c r="AV70" s="13">
        <f t="shared" si="92"/>
        <v>6998317.791671794</v>
      </c>
      <c r="AW70" s="13">
        <f t="shared" si="92"/>
        <v>7180214.465916106</v>
      </c>
      <c r="AX70" s="13">
        <f t="shared" si="92"/>
        <v>7442243.935206317</v>
      </c>
      <c r="AY70" s="13">
        <f>AY5+AY18+AY31+AY44</f>
        <v>7923852.607382437</v>
      </c>
      <c r="AZ70" s="13">
        <f>AZ5+AZ18+AZ31+AZ44</f>
        <v>8098694.620578539</v>
      </c>
      <c r="BA70" s="13">
        <f>BA5+BA18+BA31+BA44</f>
        <v>8238442.844849499</v>
      </c>
      <c r="BB70" s="13">
        <f>BB5+BB18+BB31+BB44</f>
        <v>8196462.954263472</v>
      </c>
      <c r="BC70" s="13">
        <f>BC5+BC18+BC31+BC44</f>
        <v>9170766.972008953</v>
      </c>
    </row>
    <row r="71" spans="1:21" s="23" customFormat="1" ht="11.25" customHeight="1">
      <c r="A71" s="21"/>
      <c r="B71" s="22"/>
      <c r="G71" s="26"/>
      <c r="H71" s="26"/>
      <c r="I71" s="26"/>
      <c r="J71" s="26"/>
      <c r="K71" s="26"/>
      <c r="T71" s="22"/>
      <c r="U71" s="22"/>
    </row>
    <row r="72" spans="1:53" ht="14.25">
      <c r="A72" s="38" t="s">
        <v>51</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row>
    <row r="73" spans="1:54" ht="13.5" customHeight="1">
      <c r="A73" s="38" t="s">
        <v>52</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5" ht="39" customHeight="1">
      <c r="A74" s="39" t="s">
        <v>53</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row>
    <row r="75" spans="1:53" ht="14.25">
      <c r="A75" s="51" t="s">
        <v>54</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row>
    <row r="76" spans="1:53" ht="13.5" customHeight="1">
      <c r="A76" s="38" t="s">
        <v>55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row>
    <row r="77" spans="1:17" ht="12.75">
      <c r="A77" s="30"/>
      <c r="B77" s="30"/>
      <c r="C77" s="30"/>
      <c r="D77" s="30"/>
      <c r="E77" s="30"/>
      <c r="F77" s="30"/>
      <c r="G77" s="30"/>
      <c r="H77" s="30"/>
      <c r="I77" s="30"/>
      <c r="J77" s="30"/>
      <c r="K77" s="30"/>
      <c r="L77" s="30"/>
      <c r="M77" s="30"/>
      <c r="N77" s="30"/>
      <c r="O77" s="30"/>
      <c r="P77" s="30"/>
      <c r="Q77" s="30"/>
    </row>
    <row r="78" spans="15:27" ht="12.75">
      <c r="O78" s="31"/>
      <c r="P78" s="31"/>
      <c r="Q78" s="31"/>
      <c r="R78" s="31"/>
      <c r="S78" s="31"/>
      <c r="T78" s="31"/>
      <c r="U78" s="31"/>
      <c r="V78" s="31"/>
      <c r="W78" s="31"/>
      <c r="X78" s="31"/>
      <c r="Y78" s="31"/>
      <c r="Z78" s="31"/>
      <c r="AA78" s="31"/>
    </row>
    <row r="79" spans="15:27" ht="12.75">
      <c r="O79" s="31"/>
      <c r="P79" s="31"/>
      <c r="Q79" s="31"/>
      <c r="R79" s="31"/>
      <c r="S79" s="31"/>
      <c r="T79" s="31"/>
      <c r="U79" s="31"/>
      <c r="V79" s="31"/>
      <c r="W79" s="31"/>
      <c r="X79" s="31"/>
      <c r="Y79" s="31"/>
      <c r="Z79" s="31"/>
      <c r="AA79" s="31"/>
    </row>
    <row r="80" spans="15:55" ht="12.75">
      <c r="O80" s="32"/>
      <c r="P80" s="32"/>
      <c r="Q80" s="32"/>
      <c r="R80" s="32"/>
      <c r="S80" s="32"/>
      <c r="T80" s="32"/>
      <c r="U80" s="32"/>
      <c r="V80" s="32"/>
      <c r="W80" s="32"/>
      <c r="X80" s="32"/>
      <c r="Y80" s="32"/>
      <c r="AX80" s="28"/>
      <c r="AY80" s="28"/>
      <c r="AZ80" s="28"/>
      <c r="BA80" s="28"/>
      <c r="BB80" s="28"/>
      <c r="BC80" s="28"/>
    </row>
    <row r="81" spans="2:40" ht="12.75">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row>
    <row r="82" spans="15:25" ht="12.75">
      <c r="O82" s="28"/>
      <c r="P82" s="28"/>
      <c r="Q82" s="28"/>
      <c r="R82" s="28"/>
      <c r="S82" s="28"/>
      <c r="T82" s="28"/>
      <c r="U82" s="28"/>
      <c r="V82" s="28"/>
      <c r="W82" s="28"/>
      <c r="X82" s="28"/>
      <c r="Y82" s="28"/>
    </row>
    <row r="83" spans="15:27" ht="12.75">
      <c r="O83" s="34"/>
      <c r="P83" s="34"/>
      <c r="Q83" s="34"/>
      <c r="R83" s="34"/>
      <c r="S83" s="34"/>
      <c r="T83" s="34"/>
      <c r="U83" s="34"/>
      <c r="V83" s="34"/>
      <c r="W83" s="34"/>
      <c r="X83" s="34"/>
      <c r="Y83" s="34"/>
      <c r="Z83" s="34"/>
      <c r="AA83" s="34"/>
    </row>
    <row r="85" spans="15:25" ht="12.75">
      <c r="O85" s="28"/>
      <c r="P85" s="28"/>
      <c r="Q85" s="28"/>
      <c r="R85" s="28"/>
      <c r="S85" s="28"/>
      <c r="T85" s="28"/>
      <c r="U85" s="28"/>
      <c r="V85" s="28"/>
      <c r="W85" s="28"/>
      <c r="X85" s="28"/>
      <c r="Y85" s="28"/>
    </row>
    <row r="86" ht="12.75">
      <c r="AA86" s="35">
        <f>AA83-AA81</f>
        <v>0</v>
      </c>
    </row>
    <row r="88" spans="15:25" ht="12.75">
      <c r="O88" s="28"/>
      <c r="P88" s="28"/>
      <c r="Q88" s="28"/>
      <c r="R88" s="28"/>
      <c r="S88" s="28"/>
      <c r="T88" s="28"/>
      <c r="U88" s="28"/>
      <c r="V88" s="28"/>
      <c r="W88" s="28"/>
      <c r="X88" s="28"/>
      <c r="Y88" s="28"/>
    </row>
  </sheetData>
  <sheetProtection/>
  <mergeCells count="19">
    <mergeCell ref="A1:BC1"/>
    <mergeCell ref="A74:BC74"/>
    <mergeCell ref="AA3:AD3"/>
    <mergeCell ref="W3:Z3"/>
    <mergeCell ref="S3:U3"/>
    <mergeCell ref="O3:R3"/>
    <mergeCell ref="A75:BA75"/>
    <mergeCell ref="A76:BA76"/>
    <mergeCell ref="AQ3:AT3"/>
    <mergeCell ref="AU3:AX3"/>
    <mergeCell ref="AE3:AH3"/>
    <mergeCell ref="AI3:AL3"/>
    <mergeCell ref="A73:BB73"/>
    <mergeCell ref="A72:BA72"/>
    <mergeCell ref="AY3:BB3"/>
    <mergeCell ref="G3:J3"/>
    <mergeCell ref="C3:F3"/>
    <mergeCell ref="K3:N3"/>
    <mergeCell ref="AM3:AP3"/>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2023-04-28T06:23:55Z</cp:lastPrinted>
  <dcterms:created xsi:type="dcterms:W3CDTF">2012-04-26T05:24:10Z</dcterms:created>
  <dcterms:modified xsi:type="dcterms:W3CDTF">2023-04-28T06:40:12Z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