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drawings/drawing10.xml" ContentType="application/vnd.openxmlformats-officedocument.drawing+xml"/>
  <Override PartName="/xl/worksheets/sheet26.xml" ContentType="application/vnd.openxmlformats-officedocument.spreadsheetml.worksheet+xml"/>
  <Override PartName="/xl/drawings/drawing11.xml" ContentType="application/vnd.openxmlformats-officedocument.drawing+xml"/>
  <Override PartName="/xl/worksheets/sheet27.xml" ContentType="application/vnd.openxmlformats-officedocument.spreadsheetml.worksheet+xml"/>
  <Override PartName="/xl/drawings/drawing12.xml" ContentType="application/vnd.openxmlformats-officedocument.drawing+xml"/>
  <Override PartName="/xl/worksheets/sheet2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25" windowWidth="5880" windowHeight="5925" tabRatio="919" firstSheet="13" activeTab="21"/>
  </bookViews>
  <sheets>
    <sheet name="content" sheetId="1" r:id="rId1"/>
    <sheet name="T1.1" sheetId="2" r:id="rId2"/>
    <sheet name="T2.1-2 " sheetId="3" r:id="rId3"/>
    <sheet name="T3.1-2" sheetId="4" r:id="rId4"/>
    <sheet name="Tab 3.3-4" sheetId="5" r:id="rId5"/>
    <sheet name="T 4.1-2" sheetId="6" r:id="rId6"/>
    <sheet name="T 4.3-4" sheetId="7" r:id="rId7"/>
    <sheet name="T 4.5-6" sheetId="8" r:id="rId8"/>
    <sheet name="T 4.7 " sheetId="9" r:id="rId9"/>
    <sheet name="T 4.8 " sheetId="10" r:id="rId10"/>
    <sheet name="T4.9-10" sheetId="11" r:id="rId11"/>
    <sheet name="T4.11" sheetId="12" r:id="rId12"/>
    <sheet name="T4.12" sheetId="13" r:id="rId13"/>
    <sheet name="T 5.1-2" sheetId="14" r:id="rId14"/>
    <sheet name="T5.3-4" sheetId="15" r:id="rId15"/>
    <sheet name="T5.5-6" sheetId="16" r:id="rId16"/>
    <sheet name="T5.7" sheetId="17" r:id="rId17"/>
    <sheet name="T 5.8 " sheetId="18" r:id="rId18"/>
    <sheet name="T 5.9 -10" sheetId="19" r:id="rId19"/>
    <sheet name="T 5.11 -12" sheetId="20" r:id="rId20"/>
    <sheet name=" T 5.13-14 " sheetId="21" r:id="rId21"/>
    <sheet name="T 5.15" sheetId="22" r:id="rId22"/>
    <sheet name=" T 5.16" sheetId="23" r:id="rId23"/>
    <sheet name="T5.17-18" sheetId="24" r:id="rId24"/>
    <sheet name="T5.19  " sheetId="25" r:id="rId25"/>
    <sheet name="T5.20 " sheetId="26" r:id="rId26"/>
    <sheet name="T6.1(a) -2008" sheetId="27" r:id="rId27"/>
    <sheet name="T6.1(b) - 2009" sheetId="28" r:id="rId28"/>
  </sheets>
  <externalReferences>
    <externalReference r:id="rId31"/>
  </externalReferences>
  <definedNames>
    <definedName name="_xlnm.Print_Area" localSheetId="19">'T 5.11 -12'!$A$1:$K$29</definedName>
    <definedName name="_xlnm.Print_Area" localSheetId="18">'T 5.9 -10'!$A$1:$I$36</definedName>
    <definedName name="_xlnm.Print_Area" localSheetId="10">'T4.9-10'!$A$1:$R$28</definedName>
    <definedName name="_xlnm.Print_Area" localSheetId="25">'T5.20 '!$A$1:$AE$30</definedName>
    <definedName name="_xlnm.Print_Area" localSheetId="14">'T5.3-4'!$A$1:$N$34</definedName>
    <definedName name="_xlnm.Print_Area" localSheetId="26">'T6.1(a) -2008'!$A$1:$N$40</definedName>
  </definedNames>
  <calcPr fullCalcOnLoad="1"/>
</workbook>
</file>

<file path=xl/sharedStrings.xml><?xml version="1.0" encoding="utf-8"?>
<sst xmlns="http://schemas.openxmlformats.org/spreadsheetml/2006/main" count="1911" uniqueCount="476">
  <si>
    <t>(Rs million)</t>
  </si>
  <si>
    <t xml:space="preserve">Total Government Expenditure </t>
  </si>
  <si>
    <t>Island of Mauritius</t>
  </si>
  <si>
    <t xml:space="preserve">  Ministry of Education &amp; HR</t>
  </si>
  <si>
    <t>Island of Rodrigues</t>
  </si>
  <si>
    <t>Total</t>
  </si>
  <si>
    <t xml:space="preserve">Amount          </t>
  </si>
  <si>
    <t>%</t>
  </si>
  <si>
    <t xml:space="preserve">         Pre-primary</t>
  </si>
  <si>
    <t xml:space="preserve">         Primary</t>
  </si>
  <si>
    <t xml:space="preserve">         Secondary</t>
  </si>
  <si>
    <t xml:space="preserve">         Technical &amp; Vocational</t>
  </si>
  <si>
    <t xml:space="preserve">         Pre-Primary</t>
  </si>
  <si>
    <t xml:space="preserve">    -</t>
  </si>
  <si>
    <t xml:space="preserve">     Total</t>
  </si>
  <si>
    <t>District</t>
  </si>
  <si>
    <t xml:space="preserve">Type of Administration </t>
  </si>
  <si>
    <t>Municipal/</t>
  </si>
  <si>
    <t>V.Council</t>
  </si>
  <si>
    <t xml:space="preserve"> Port Louis</t>
  </si>
  <si>
    <t xml:space="preserve"> Pamplemousses</t>
  </si>
  <si>
    <t xml:space="preserve"> Riv. du Rempart</t>
  </si>
  <si>
    <t xml:space="preserve"> Flacq</t>
  </si>
  <si>
    <t xml:space="preserve"> Grand Port</t>
  </si>
  <si>
    <t xml:space="preserve"> Savanne</t>
  </si>
  <si>
    <t xml:space="preserve"> Plaines Wilhems</t>
  </si>
  <si>
    <t xml:space="preserve"> Moka</t>
  </si>
  <si>
    <t xml:space="preserve"> Black River</t>
  </si>
  <si>
    <t xml:space="preserve"> Island of  Mauritius</t>
  </si>
  <si>
    <t xml:space="preserve"> Island of  Rodrigues</t>
  </si>
  <si>
    <t xml:space="preserve"> Republic of  Mauritius</t>
  </si>
  <si>
    <t>Zone</t>
  </si>
  <si>
    <t xml:space="preserve">  1 - Port Louis / North</t>
  </si>
  <si>
    <t xml:space="preserve">  2 - B.Bassin-R.Hill / East</t>
  </si>
  <si>
    <t xml:space="preserve">  3 - Curepipe / South</t>
  </si>
  <si>
    <t xml:space="preserve">  4 - Q.Bornes / Vacoas-Phoenix /West</t>
  </si>
  <si>
    <t>-</t>
  </si>
  <si>
    <t xml:space="preserve">Enrolment </t>
  </si>
  <si>
    <t xml:space="preserve">Personnel </t>
  </si>
  <si>
    <t>Male</t>
  </si>
  <si>
    <t>Female</t>
  </si>
  <si>
    <t>Teaching</t>
  </si>
  <si>
    <t>Non - Teaching</t>
  </si>
  <si>
    <t xml:space="preserve"> Riviere du Rempart</t>
  </si>
  <si>
    <t xml:space="preserve"> Island of Mauritius</t>
  </si>
  <si>
    <t xml:space="preserve"> Island of Rodrigues</t>
  </si>
  <si>
    <t xml:space="preserve"> Republic of Mauritius</t>
  </si>
  <si>
    <t xml:space="preserve">  4 - Q.Bornes / Vacoas-Phoenix / West</t>
  </si>
  <si>
    <t xml:space="preserve">  All Zones</t>
  </si>
  <si>
    <t>Type of Administration</t>
  </si>
  <si>
    <t>Government</t>
  </si>
  <si>
    <t>Private</t>
  </si>
  <si>
    <t>Aided</t>
  </si>
  <si>
    <t>Non - Aided</t>
  </si>
  <si>
    <t>No.</t>
  </si>
  <si>
    <t xml:space="preserve">  Port Louis</t>
  </si>
  <si>
    <t xml:space="preserve">  Pamplemousses</t>
  </si>
  <si>
    <t xml:space="preserve"> -</t>
  </si>
  <si>
    <t xml:space="preserve">  Riviere du Rempart</t>
  </si>
  <si>
    <t xml:space="preserve">  Flacq</t>
  </si>
  <si>
    <t xml:space="preserve">  Grand Port</t>
  </si>
  <si>
    <t xml:space="preserve">  Savanne</t>
  </si>
  <si>
    <t xml:space="preserve">  Plaines Wilhems</t>
  </si>
  <si>
    <t xml:space="preserve">  Moka</t>
  </si>
  <si>
    <t xml:space="preserve">  Black River</t>
  </si>
  <si>
    <t xml:space="preserve">  Island of Mauritius</t>
  </si>
  <si>
    <t xml:space="preserve">  Island of Rodrigues</t>
  </si>
  <si>
    <t xml:space="preserve">  Republic  of  Mauritius</t>
  </si>
  <si>
    <t xml:space="preserve"> 1 - Port Louis / North</t>
  </si>
  <si>
    <t xml:space="preserve"> 2 - B.Bassin-R.Hill / East</t>
  </si>
  <si>
    <t xml:space="preserve"> 3 - Curepipe / South</t>
  </si>
  <si>
    <t xml:space="preserve"> 4 - Q.Bornes / Vacoas-Phoenix / West</t>
  </si>
  <si>
    <t xml:space="preserve">  All  Zones</t>
  </si>
  <si>
    <t xml:space="preserve">  ¹ Excluding schools with partial stream </t>
  </si>
  <si>
    <t>All schools</t>
  </si>
  <si>
    <t>Government schools</t>
  </si>
  <si>
    <t xml:space="preserve">Private schools </t>
  </si>
  <si>
    <t>Non-aided</t>
  </si>
  <si>
    <t>Private schools</t>
  </si>
  <si>
    <t xml:space="preserve">    ¹ including enrolment in schools with a partial stream </t>
  </si>
  <si>
    <r>
      <t>Aided</t>
    </r>
    <r>
      <rPr>
        <vertAlign val="superscript"/>
        <sz val="11"/>
        <rFont val="Times New Roman"/>
        <family val="1"/>
      </rPr>
      <t xml:space="preserve"> </t>
    </r>
  </si>
  <si>
    <t>Grade/Standard</t>
  </si>
  <si>
    <t>All Grades</t>
  </si>
  <si>
    <t>I</t>
  </si>
  <si>
    <t>II</t>
  </si>
  <si>
    <t>III</t>
  </si>
  <si>
    <t>IV</t>
  </si>
  <si>
    <t>V</t>
  </si>
  <si>
    <t>VI</t>
  </si>
  <si>
    <t>VI (repeaters)</t>
  </si>
  <si>
    <t xml:space="preserve">  Republic of  Mauritius</t>
  </si>
  <si>
    <t xml:space="preserve"> 2 -B.Bassin-R.Hill / East</t>
  </si>
  <si>
    <t xml:space="preserve"> 3 -Curepipe / South</t>
  </si>
  <si>
    <t xml:space="preserve"> 4 -Q.Bornes/Vacoas-Phoenix/West</t>
  </si>
  <si>
    <t xml:space="preserve"> All  Zones</t>
  </si>
  <si>
    <t xml:space="preserve">  ¹ including enrolment in schools with a partial stream </t>
  </si>
  <si>
    <t>Grade</t>
  </si>
  <si>
    <t xml:space="preserve"> </t>
  </si>
  <si>
    <t>Repeaters</t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</si>
  <si>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pupils attending schools with a partial stream </t>
    </r>
  </si>
  <si>
    <t>Republic of Mauritius</t>
  </si>
  <si>
    <t xml:space="preserve"> All schools</t>
  </si>
  <si>
    <t>VI Repeaters</t>
  </si>
  <si>
    <t xml:space="preserve"> Government schools</t>
  </si>
  <si>
    <t xml:space="preserve"> Private schools</t>
  </si>
  <si>
    <t xml:space="preserve">¹ including enrolment in schools with a partial stream </t>
  </si>
  <si>
    <t xml:space="preserve"> Head Teacher</t>
  </si>
  <si>
    <t xml:space="preserve"> Total</t>
  </si>
  <si>
    <t xml:space="preserve"> Hindi</t>
  </si>
  <si>
    <t xml:space="preserve"> Urdu</t>
  </si>
  <si>
    <t xml:space="preserve"> Tamil</t>
  </si>
  <si>
    <t xml:space="preserve"> Telugu</t>
  </si>
  <si>
    <t xml:space="preserve"> Marathi</t>
  </si>
  <si>
    <t xml:space="preserve"> Arabic</t>
  </si>
  <si>
    <t xml:space="preserve"> School clerk</t>
  </si>
  <si>
    <t xml:space="preserve"> Caretaker</t>
  </si>
  <si>
    <t xml:space="preserve"> Labourer</t>
  </si>
  <si>
    <t xml:space="preserve"> Other</t>
  </si>
  <si>
    <t xml:space="preserve"> TOTAL</t>
  </si>
  <si>
    <t xml:space="preserve">  Riv. du Rempart</t>
  </si>
  <si>
    <t xml:space="preserve">  Island of  Mauritius</t>
  </si>
  <si>
    <t xml:space="preserve">  Island of  Rodrigues</t>
  </si>
  <si>
    <t xml:space="preserve">      -</t>
  </si>
  <si>
    <t xml:space="preserve">  * including physical education instructors</t>
  </si>
  <si>
    <t>School Candidates only</t>
  </si>
  <si>
    <t>No. Examined</t>
  </si>
  <si>
    <t>No.        Passed</t>
  </si>
  <si>
    <t>%             Passed</t>
  </si>
  <si>
    <t xml:space="preserve">Island of Rodrigues </t>
  </si>
  <si>
    <t xml:space="preserve">    Source: Mauritius Examinations Syndicate </t>
  </si>
  <si>
    <t>School Candidates</t>
  </si>
  <si>
    <t xml:space="preserve">         First Sitting</t>
  </si>
  <si>
    <t xml:space="preserve">         Second Sitting</t>
  </si>
  <si>
    <t xml:space="preserve">          Total</t>
  </si>
  <si>
    <t>Private Candidates</t>
  </si>
  <si>
    <t>School &amp; Private Candidates</t>
  </si>
  <si>
    <t xml:space="preserve"> Type of Administration</t>
  </si>
  <si>
    <t xml:space="preserve">Private </t>
  </si>
  <si>
    <t xml:space="preserve">      Company (REDCO)</t>
  </si>
  <si>
    <r>
      <t>All Schools</t>
    </r>
    <r>
      <rPr>
        <vertAlign val="superscript"/>
        <sz val="11"/>
        <rFont val="Times New Roman"/>
        <family val="1"/>
      </rPr>
      <t xml:space="preserve"> 1</t>
    </r>
  </si>
  <si>
    <r>
      <t xml:space="preserve">State </t>
    </r>
    <r>
      <rPr>
        <vertAlign val="superscript"/>
        <sz val="11"/>
        <rFont val="Times New Roman"/>
        <family val="1"/>
      </rPr>
      <t>2</t>
    </r>
  </si>
  <si>
    <r>
      <t xml:space="preserve">Aided </t>
    </r>
    <r>
      <rPr>
        <vertAlign val="superscript"/>
        <sz val="11"/>
        <rFont val="Times New Roman"/>
        <family val="1"/>
      </rPr>
      <t>3</t>
    </r>
  </si>
  <si>
    <r>
      <t xml:space="preserve">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 includes Mauritius Educational Development Company (MEDCO) / Rodrigues Educational Development</t>
    </r>
  </si>
  <si>
    <r>
      <t xml:space="preserve">State schools </t>
    </r>
    <r>
      <rPr>
        <vertAlign val="superscript"/>
        <sz val="11"/>
        <rFont val="Times New Roman"/>
        <family val="1"/>
      </rPr>
      <t xml:space="preserve">1 </t>
    </r>
  </si>
  <si>
    <r>
      <t>Aided</t>
    </r>
    <r>
      <rPr>
        <vertAlign val="superscript"/>
        <sz val="11"/>
        <rFont val="Times New Roman"/>
        <family val="1"/>
      </rPr>
      <t xml:space="preserve"> 2</t>
    </r>
  </si>
  <si>
    <t>All</t>
  </si>
  <si>
    <t xml:space="preserve">VI Lower </t>
  </si>
  <si>
    <t xml:space="preserve">VI Upper </t>
  </si>
  <si>
    <t>Grades</t>
  </si>
  <si>
    <t xml:space="preserve">  I</t>
  </si>
  <si>
    <t xml:space="preserve"> II</t>
  </si>
  <si>
    <t xml:space="preserve"> V</t>
  </si>
  <si>
    <t>Lower</t>
  </si>
  <si>
    <t xml:space="preserve"> VI</t>
  </si>
  <si>
    <t>Upper</t>
  </si>
  <si>
    <t xml:space="preserve">   All schools</t>
  </si>
  <si>
    <t xml:space="preserve">  II</t>
  </si>
  <si>
    <t xml:space="preserve">  III</t>
  </si>
  <si>
    <t xml:space="preserve">  IV</t>
  </si>
  <si>
    <t xml:space="preserve">  V</t>
  </si>
  <si>
    <t xml:space="preserve">  VI </t>
  </si>
  <si>
    <t xml:space="preserve">  Total</t>
  </si>
  <si>
    <t xml:space="preserve">   State Schools</t>
  </si>
  <si>
    <t xml:space="preserve">   Private Schools</t>
  </si>
  <si>
    <t xml:space="preserve">State </t>
  </si>
  <si>
    <t>State</t>
  </si>
  <si>
    <r>
      <t xml:space="preserve">Private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</si>
  <si>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>Private</t>
    </r>
    <r>
      <rPr>
        <vertAlign val="superscript"/>
        <sz val="11"/>
        <rFont val="Times New Roman"/>
        <family val="1"/>
      </rPr>
      <t xml:space="preserve"> 2</t>
    </r>
    <r>
      <rPr>
        <sz val="11"/>
        <rFont val="Times New Roman"/>
        <family val="1"/>
      </rPr>
      <t xml:space="preserve"> </t>
    </r>
  </si>
  <si>
    <r>
      <t xml:space="preserve">    2</t>
    </r>
    <r>
      <rPr>
        <sz val="10"/>
        <rFont val="Times New Roman"/>
        <family val="1"/>
      </rPr>
      <t xml:space="preserve"> includes Mauritius Educational Development Company (MEDCO) / Rodrigues Educational Development Company (REDCO)                                     </t>
    </r>
  </si>
  <si>
    <t>State schools</t>
  </si>
  <si>
    <r>
      <t xml:space="preserve">Private schools </t>
    </r>
    <r>
      <rPr>
        <vertAlign val="superscript"/>
        <sz val="11"/>
        <rFont val="Times New Roman"/>
        <family val="1"/>
      </rPr>
      <t>1</t>
    </r>
  </si>
  <si>
    <t>Enrolment</t>
  </si>
  <si>
    <t>Year I</t>
  </si>
  <si>
    <t>Year II</t>
  </si>
  <si>
    <t>Year III</t>
  </si>
  <si>
    <t>Pamplemousses</t>
  </si>
  <si>
    <t>Riviere du Rempart</t>
  </si>
  <si>
    <t>Flacq</t>
  </si>
  <si>
    <t>Grand Port</t>
  </si>
  <si>
    <t>Savanne</t>
  </si>
  <si>
    <t>P.Wilhems</t>
  </si>
  <si>
    <t>Moka</t>
  </si>
  <si>
    <t>Black River</t>
  </si>
  <si>
    <t>2- B.Bassin-R.Hill / East</t>
  </si>
  <si>
    <t>3- Curepipe / South</t>
  </si>
  <si>
    <t>4- Q.Bornes  / Vacoas-Phoenix / West</t>
  </si>
  <si>
    <t>All  Zones</t>
  </si>
  <si>
    <t>Academic</t>
  </si>
  <si>
    <t>Pre-vocational</t>
  </si>
  <si>
    <t>Academic &amp; Pre-vocational</t>
  </si>
  <si>
    <t>Port Louis</t>
  </si>
  <si>
    <t>Plaines Wilhems</t>
  </si>
  <si>
    <t>Republic of  Mauritius</t>
  </si>
  <si>
    <t>School candidates only</t>
  </si>
  <si>
    <t>No.  Examined</t>
  </si>
  <si>
    <t>No.      Passed</t>
  </si>
  <si>
    <t xml:space="preserve"> %        Passed </t>
  </si>
  <si>
    <t>No.                      Examined</t>
  </si>
  <si>
    <t>All Schools</t>
  </si>
  <si>
    <t>State Schools</t>
  </si>
  <si>
    <t>Private Schools</t>
  </si>
  <si>
    <t xml:space="preserve"> Source: Mauritius Examinations Syndicate </t>
  </si>
  <si>
    <r>
      <t xml:space="preserve">Island of Rodrigues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</si>
  <si>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All candidates in Rodrigues are from REDCO and private schools.</t>
    </r>
  </si>
  <si>
    <t>No.     Passed</t>
  </si>
  <si>
    <t>%                  Passed</t>
  </si>
  <si>
    <t>%       Passed</t>
  </si>
  <si>
    <t xml:space="preserve">Source: Mauritius Examinations Syndicate </t>
  </si>
  <si>
    <r>
      <t xml:space="preserve">Island of Rodrigues </t>
    </r>
    <r>
      <rPr>
        <b/>
        <vertAlign val="superscript"/>
        <sz val="11"/>
        <rFont val="Times New Roman"/>
        <family val="1"/>
      </rPr>
      <t>1</t>
    </r>
  </si>
  <si>
    <r>
      <t xml:space="preserve">                                                          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All candidates in Rodrigues are from REDCO and private schools.</t>
    </r>
  </si>
  <si>
    <r>
      <t xml:space="preserve">1 </t>
    </r>
    <r>
      <rPr>
        <sz val="10"/>
        <rFont val="Times New Roman"/>
        <family val="1"/>
      </rPr>
      <t>All candidates in Rodrigues are from REDCO and private schools</t>
    </r>
  </si>
  <si>
    <t>Field of study</t>
  </si>
  <si>
    <t>Distance Education/ Private Providers</t>
  </si>
  <si>
    <t>Overseas</t>
  </si>
  <si>
    <t>UTM</t>
  </si>
  <si>
    <t>MIE</t>
  </si>
  <si>
    <t>MGI</t>
  </si>
  <si>
    <t>MCA</t>
  </si>
  <si>
    <t>Polytechnics</t>
  </si>
  <si>
    <t>IVTB</t>
  </si>
  <si>
    <t>MIH</t>
  </si>
  <si>
    <t>Administration / Management</t>
  </si>
  <si>
    <t>Agriculture</t>
  </si>
  <si>
    <t>Architecture</t>
  </si>
  <si>
    <t>Arts</t>
  </si>
  <si>
    <t>Banking / Finance</t>
  </si>
  <si>
    <t>Business / Commerce / Marketing</t>
  </si>
  <si>
    <t>Communication</t>
  </si>
  <si>
    <t>Dentistry</t>
  </si>
  <si>
    <t>Economics</t>
  </si>
  <si>
    <t>Education</t>
  </si>
  <si>
    <t>Engineering</t>
  </si>
  <si>
    <t>Humanities</t>
  </si>
  <si>
    <t>Information Technology</t>
  </si>
  <si>
    <t>Languages</t>
  </si>
  <si>
    <t>Law</t>
  </si>
  <si>
    <t xml:space="preserve">Mathematics </t>
  </si>
  <si>
    <t>Pharmacy</t>
  </si>
  <si>
    <t>Police Studies</t>
  </si>
  <si>
    <t>Science</t>
  </si>
  <si>
    <t>Social Science</t>
  </si>
  <si>
    <t>Textile</t>
  </si>
  <si>
    <t>Travel / Hotel / Tourism</t>
  </si>
  <si>
    <t xml:space="preserve">Others </t>
  </si>
  <si>
    <r>
      <t>UOM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</si>
  <si>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Excludes enrolment on joint MIE &amp; MGI Programmes</t>
    </r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</si>
  <si>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includes Mahatma Gandhi Institute, Rabindranath Tagore Secondary School and  Mahatma Gandhi State Schools</t>
    </r>
  </si>
  <si>
    <t xml:space="preserve"> 1 -Port Louis / North</t>
  </si>
  <si>
    <t xml:space="preserve">  4 - Q.Bornes/ Vacoas-Phoenix/  West</t>
  </si>
  <si>
    <t>1- Port Louis / North</t>
  </si>
  <si>
    <r>
      <t xml:space="preserve">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includes Mauritius Educational Development Company (MEDCO) / Rodrigues Educational Development Company (REDCO)</t>
    </r>
  </si>
  <si>
    <t>of which expenditure by:</t>
  </si>
  <si>
    <t xml:space="preserve">         Tertiary Education</t>
  </si>
  <si>
    <r>
      <t xml:space="preserve">         Other </t>
    </r>
    <r>
      <rPr>
        <i/>
        <vertAlign val="superscript"/>
        <sz val="11"/>
        <rFont val="Times New Roman"/>
        <family val="1"/>
      </rPr>
      <t>3</t>
    </r>
  </si>
  <si>
    <r>
      <t xml:space="preserve">Island of Rodrigues </t>
    </r>
    <r>
      <rPr>
        <b/>
        <vertAlign val="superscript"/>
        <sz val="12"/>
        <rFont val="Times New Roman"/>
        <family val="1"/>
      </rPr>
      <t>4</t>
    </r>
  </si>
  <si>
    <t>Secondary</t>
  </si>
  <si>
    <t>Other</t>
  </si>
  <si>
    <r>
      <t>Other Ministries</t>
    </r>
    <r>
      <rPr>
        <b/>
        <vertAlign val="superscript"/>
        <sz val="12"/>
        <rFont val="Times New Roman"/>
        <family val="1"/>
      </rPr>
      <t xml:space="preserve"> 5</t>
    </r>
  </si>
  <si>
    <r>
      <t xml:space="preserve">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includes Mauritius Educational Development Company (MEDCO) / Rodrigues Educational Development Company (REDCO) </t>
    </r>
  </si>
  <si>
    <t>Page</t>
  </si>
  <si>
    <t>1.1</t>
  </si>
  <si>
    <t>EXPENDITURE ON EDUCATION</t>
  </si>
  <si>
    <t>PRE-PRIMARY EDUCATION</t>
  </si>
  <si>
    <t>3.1</t>
  </si>
  <si>
    <t>3.2</t>
  </si>
  <si>
    <t>3.3</t>
  </si>
  <si>
    <t>3.4</t>
  </si>
  <si>
    <t>PRIMARY EDUCATION</t>
  </si>
  <si>
    <t>4.1</t>
  </si>
  <si>
    <t>4.4</t>
  </si>
  <si>
    <t>4.5</t>
  </si>
  <si>
    <t>4.6</t>
  </si>
  <si>
    <t>4.10</t>
  </si>
  <si>
    <t>SECONDARY EDUCATION - ACADEMIC STREAM AND PRE-VOCATIONAL</t>
  </si>
  <si>
    <t>5.1</t>
  </si>
  <si>
    <t>5.4</t>
  </si>
  <si>
    <t>5.5</t>
  </si>
  <si>
    <t>5.6</t>
  </si>
  <si>
    <t xml:space="preserve">Enrolment in secondary schools (academic stream) by type of adminstration, grade and sex, </t>
  </si>
  <si>
    <t>5.10</t>
  </si>
  <si>
    <t>5.13</t>
  </si>
  <si>
    <t>5.14</t>
  </si>
  <si>
    <t>5.15</t>
  </si>
  <si>
    <t>5.16</t>
  </si>
  <si>
    <t>5.17</t>
  </si>
  <si>
    <t>5.18</t>
  </si>
  <si>
    <t>5.19</t>
  </si>
  <si>
    <t>5.20</t>
  </si>
  <si>
    <t>POST SECONDARY EDUCATION</t>
  </si>
  <si>
    <t>6.1(a)</t>
  </si>
  <si>
    <t xml:space="preserve">Total number of students enrolled in Tertiary Education, both locally and overseas, by field of study </t>
  </si>
  <si>
    <t>6.1(b)</t>
  </si>
  <si>
    <t>Publicly Funded Institutions (PFIs)</t>
  </si>
  <si>
    <t>Accountancy</t>
  </si>
  <si>
    <t>Medecine</t>
  </si>
  <si>
    <t xml:space="preserve">   -</t>
  </si>
  <si>
    <t>Pre-primary</t>
  </si>
  <si>
    <t>Number of schools</t>
  </si>
  <si>
    <t>Number of teachers</t>
  </si>
  <si>
    <t>Pupil/Teacher Ratio</t>
  </si>
  <si>
    <t>Primary</t>
  </si>
  <si>
    <t>n.a</t>
  </si>
  <si>
    <t>Secondary (Academic and Pre-Vocational)</t>
  </si>
  <si>
    <t>Total Government Expenditure on Education as a % of GDP at market price</t>
  </si>
  <si>
    <t>Total Government Expenditure on Education as a % of Total Government Expenditure</t>
  </si>
  <si>
    <t>n.a: Not available</t>
  </si>
  <si>
    <t>Table 5.16 - Enrolment in schools offering pre-vocational education by type of  administration,</t>
  </si>
  <si>
    <t xml:space="preserve">Table 5.15 - Enrolment in schools offering pre-vocational education by year of study and sex, </t>
  </si>
  <si>
    <t xml:space="preserve">Table 5.8 - Enrolment in secondary schools (academic stream) by type of administration, grade </t>
  </si>
  <si>
    <t>LIST OF TABLES</t>
  </si>
  <si>
    <t>EDUCATION INDICATORS</t>
  </si>
  <si>
    <t>Gross Enrolment Ratio (%)</t>
  </si>
  <si>
    <t xml:space="preserve">Total Government Expenditure (Rs million) </t>
  </si>
  <si>
    <t xml:space="preserve">Total Government Expenditure on Education                            (Rs million) </t>
  </si>
  <si>
    <r>
      <t xml:space="preserve">RC/HA </t>
    </r>
    <r>
      <rPr>
        <vertAlign val="superscript"/>
        <sz val="12"/>
        <rFont val="Times New Roman"/>
        <family val="1"/>
      </rPr>
      <t>2</t>
    </r>
  </si>
  <si>
    <t xml:space="preserve">Cambridge School Certificate (SC) examination results by type of school administration and sex, </t>
  </si>
  <si>
    <t xml:space="preserve">Cambridge Higher School Certificate (HSC) examination results by type of school administration  </t>
  </si>
  <si>
    <t xml:space="preserve">Enrolment in schools offering pre-vocational education by district, type of administration </t>
  </si>
  <si>
    <r>
      <t xml:space="preserve">   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includes Mahatma Gandhi Institute, Rabindranath Tagore Secondary School and 4 Mahatma Gandhi State Schools</t>
    </r>
  </si>
  <si>
    <r>
      <t>Tertiary</t>
    </r>
    <r>
      <rPr>
        <b/>
        <vertAlign val="superscript"/>
        <sz val="11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</si>
  <si>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Source: Tertiary Education Commission</t>
    </r>
  </si>
  <si>
    <t>Transition Rate (Primary to Secondary)</t>
  </si>
  <si>
    <t>as at December 2008</t>
  </si>
  <si>
    <t xml:space="preserve"> private</t>
  </si>
  <si>
    <t xml:space="preserve">Counselling </t>
  </si>
  <si>
    <t xml:space="preserve">Psychology </t>
  </si>
  <si>
    <t xml:space="preserve">Religious Studies </t>
  </si>
  <si>
    <t xml:space="preserve">Health Sciences </t>
  </si>
  <si>
    <t>Fisheries Studies</t>
  </si>
  <si>
    <t>No. Passed</t>
  </si>
  <si>
    <t>%   Passed</t>
  </si>
  <si>
    <r>
      <t>ECCEA</t>
    </r>
    <r>
      <rPr>
        <vertAlign val="superscript"/>
        <sz val="12"/>
        <rFont val="Times New Roman"/>
        <family val="1"/>
      </rPr>
      <t>1</t>
    </r>
  </si>
  <si>
    <r>
      <t>ECCEA</t>
    </r>
    <r>
      <rPr>
        <vertAlign val="superscript"/>
        <sz val="11"/>
        <rFont val="Times New Roman"/>
        <family val="1"/>
      </rPr>
      <t>1</t>
    </r>
  </si>
  <si>
    <t>Table 5.1 -  Distribution of  secondary schools by district and type of administration, 2010</t>
  </si>
  <si>
    <t>Table 5.2 - Distribution of secondary schools by zone and type of administration, 2010</t>
  </si>
  <si>
    <t>Table 5.3 -  Enrolment in secondary schools (academic stream) by district, type of administration and sex, 2010</t>
  </si>
  <si>
    <t>Table 5.4 -  Enrolment in secondary schools (academic stream) by zone, type of administration and sex, 2010</t>
  </si>
  <si>
    <t>Table 5.5 - Enrolment in secondary schools (academic stream) by district and grade, 2010</t>
  </si>
  <si>
    <t>Table 5.6 - Enrolment in secondary schools (academic stream) by zone and grade, 2010</t>
  </si>
  <si>
    <t>Table 5.7 - Enrolment in secondary schools (academic stream) by grade and sex, 2008 - 2010</t>
  </si>
  <si>
    <t xml:space="preserve">                  and sex, 2008 - 2010</t>
  </si>
  <si>
    <t>Table 5.9  -  Distribution of schools offering pre-vocational education by district and type of administration, 2010</t>
  </si>
  <si>
    <t>Table 5.10  -  Distribution of schools offering pre-vocational education by zone and type of administration, 2010</t>
  </si>
  <si>
    <t>Table 5.12 -  Enrolment in schools offering pre-vocational education by zone, type of administration and sex, 2010</t>
  </si>
  <si>
    <t>Table 5.13 - Enrolment in schools offering pre-vocational education by district and year of study, 2010</t>
  </si>
  <si>
    <t>Table 5.14 - Enrolment  in schools offering pre-vocational education by zone and year of study, 2010</t>
  </si>
  <si>
    <t xml:space="preserve">                    2008 - 2010</t>
  </si>
  <si>
    <t xml:space="preserve">                  year of study and sex, 2008 - 2010</t>
  </si>
  <si>
    <t>Table 5.17 - Teaching staff in secondary schools (academic &amp; pre-vocational streams) by district and sex, 2010</t>
  </si>
  <si>
    <t>Table 5.18 - Teaching staff in secondary schools (academic &amp; pre-vocational streams) by zone and sex, 2010</t>
  </si>
  <si>
    <t>Table 5.19 - Cambridge School Certificate (SC) examination results by type of school administration and sex, 2007 - 2009</t>
  </si>
  <si>
    <r>
      <t>1</t>
    </r>
    <r>
      <rPr>
        <sz val="10"/>
        <rFont val="Times New Roman"/>
        <family val="1"/>
      </rPr>
      <t xml:space="preserve"> All candidates in Rodrigues are from REDCO and private schools.</t>
    </r>
  </si>
  <si>
    <t>Table 5.20 - Cambridge Higher School Certificate (HSC) examination results by type of school administration and sex, 2007 - 2009</t>
  </si>
  <si>
    <t>Main Education indicators and data, Republic of Mauritius, 2006 - 2010</t>
  </si>
  <si>
    <t>Distribution of pre-primary schools by district and type of administration, 2010</t>
  </si>
  <si>
    <t>Distribution of pre-primary schools by zone and type of administration, 2010</t>
  </si>
  <si>
    <t>Enrolment and personnel in pre-primary schools by district and sex, 2010</t>
  </si>
  <si>
    <t>Enrolment and personnel in pre-primary schools by zone and sex, 2010</t>
  </si>
  <si>
    <t>Distribution of primary schools by district and type of administration, 2010</t>
  </si>
  <si>
    <t>Distribution of primary schools by zone and type of administration, 2010</t>
  </si>
  <si>
    <t>Enrolment in primary schools by district, type of administration and sex , 2010</t>
  </si>
  <si>
    <t>Enrolment in primary schools by zone, type of administration and sex , 2010</t>
  </si>
  <si>
    <t>Enrolment in primary schools by district and grade, 2010</t>
  </si>
  <si>
    <t>Enrolment in primary schools by zone and grade, 2010</t>
  </si>
  <si>
    <t>Enrolment in primary schools by grade and sex, 2008 - 2010</t>
  </si>
  <si>
    <t xml:space="preserve">Enrolment in primary schools by type of administration, grade and sex, 2008 - 2010, </t>
  </si>
  <si>
    <t>Personnel in primary schools by district and occupational status, 2010</t>
  </si>
  <si>
    <t>Personnel in primary schools by zone and occupational status, 2010</t>
  </si>
  <si>
    <t>Performance at Certificate of Primary Education (CPE) examination by sex and sitting, 2009</t>
  </si>
  <si>
    <t>Distribution of secondary schools by district and type of adminstration, 2010</t>
  </si>
  <si>
    <t>Distribution of secondary schools by zone and type of administration, 2010</t>
  </si>
  <si>
    <t>Enrolment in secondary schools (academic stream) by district, type of adminstration and sex, 2010</t>
  </si>
  <si>
    <t>Enrolment in secondary schools (academic stream) by zone, type of adminstration and sex, 2010</t>
  </si>
  <si>
    <t>Enrolment in secondary schools (academic stream) by district and grade, 2010</t>
  </si>
  <si>
    <t>Enrolment in secondary schools (academic stream) by zone and grade, 2010</t>
  </si>
  <si>
    <t>Enrolment in secondary schools (academic stream) by grade and sex, 2008 - 2010</t>
  </si>
  <si>
    <t>2008 - 2010, Republic of Mauritius</t>
  </si>
  <si>
    <t>Distribution of schools offering pre-vocational education by district and type of adminstration, 2010</t>
  </si>
  <si>
    <t>Distribution of schools offering pre-vocational education by zone and type of administration, 2010</t>
  </si>
  <si>
    <t>and sex, 2010</t>
  </si>
  <si>
    <t>Enrolment in schools offering pre-vocational education by zone, type of administration and sex, 2010</t>
  </si>
  <si>
    <t>Enrolment in schools offering pre-vocational education by district and year of study, 2010</t>
  </si>
  <si>
    <t>Enrolment in schools offering pre-vocational education by zone and year of study, 2010</t>
  </si>
  <si>
    <t>Enrolment in schools offering pre-vocational education by year of study and sex, 2008 - 2010</t>
  </si>
  <si>
    <t>Teaching staff in secondary (academic &amp; pre-vocational streams) by district and sex, 2010</t>
  </si>
  <si>
    <t>Teaching staff in secondary schools (academic &amp; pre-vocational streams) by zone and sex, 2010</t>
  </si>
  <si>
    <t>2007 - 2009</t>
  </si>
  <si>
    <t xml:space="preserve">and sex, 2007 - 2009 </t>
  </si>
  <si>
    <t>Table 1.1 - Main Education Indicators and data, Republic of Mauritius, 2006 - 2010</t>
  </si>
  <si>
    <t>Table 3.1 - Distribution of pre-primary schools  by district and type of administration, 2010</t>
  </si>
  <si>
    <t>Table 3.2 - Distribution of pre-primary schools  by zone and type of administration, 2010</t>
  </si>
  <si>
    <t>Table 3.3 - Enrolment and personnel in pre-primary schools by district and sex, 2010</t>
  </si>
  <si>
    <t>Table 3.4 - Enrolment and personnel in pre-primary schools  by zone and sex, 2010</t>
  </si>
  <si>
    <r>
      <t>Table 4.1 -  Distribution of  primary schools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district and type of administration, 2010</t>
    </r>
  </si>
  <si>
    <r>
      <t>Table 4.2 -  Distribution of  primary schools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zone and type of administration, 2010</t>
    </r>
  </si>
  <si>
    <r>
      <t xml:space="preserve">Table 4.3 - Enrolment in primary schools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district, type of administration and sex, 2010</t>
    </r>
  </si>
  <si>
    <r>
      <t xml:space="preserve">Table 4.4 -  Enrolment in primary schools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zone, type of administration and sex, 2010</t>
    </r>
  </si>
  <si>
    <r>
      <t>Table 4.5 -  Enrolment in  primary schools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district and grade, 2010</t>
    </r>
  </si>
  <si>
    <r>
      <t>Table 4.6 -  Enrolment in  primary schools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zone and grade, 2010</t>
    </r>
  </si>
  <si>
    <r>
      <t>Table 4.7  -  Enrolment in primary schools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grade and sex, 2008 - 2010</t>
    </r>
  </si>
  <si>
    <t>Table 4.8 - Enrolment in primary schools¹ by type of administration, grade and sex, 2008 - 2010</t>
  </si>
  <si>
    <t>Table 4.9 - Personnel in primary schools by district and occupational status, 2010</t>
  </si>
  <si>
    <t>Table 4.10 - Personnel in primary schools by zone and occupational status, 2010</t>
  </si>
  <si>
    <t>Table 4.11 - Certificate of Primary Education (CPE) examination results by sex, 2007 - 2009</t>
  </si>
  <si>
    <t>Table 4.12 - Performance at Certificate of Primary Education (CPE) examination by sex and sitting, 2009</t>
  </si>
  <si>
    <t>Table 6.1(a) - Total number of students enrolled in Tertiary Education, both locally and overseas, by field of study as at December 2008</t>
  </si>
  <si>
    <t>Research (Msc, MPhil / PhD)</t>
  </si>
  <si>
    <t>Mres</t>
  </si>
  <si>
    <t>Research (MPhil / PhD)</t>
  </si>
  <si>
    <t>Total(PFIs)</t>
  </si>
  <si>
    <t>Table 6.1(b) - Total number of students enrolled in Tertiary Education, both locally and overseas, by field of study as at December 2009</t>
  </si>
  <si>
    <t>MITD</t>
  </si>
  <si>
    <t>Library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</si>
  <si>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FDI - The Fashion and Design Institute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</si>
  <si>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RTI - The Rabindranath Tagore Institute</t>
    </r>
  </si>
  <si>
    <r>
      <t xml:space="preserve">FDI </t>
    </r>
    <r>
      <rPr>
        <vertAlign val="superscript"/>
        <sz val="10"/>
        <rFont val="Times New Roman"/>
        <family val="1"/>
      </rPr>
      <t>2</t>
    </r>
  </si>
  <si>
    <r>
      <t xml:space="preserve">RTI </t>
    </r>
    <r>
      <rPr>
        <vertAlign val="superscript"/>
        <sz val="10"/>
        <rFont val="Times New Roman"/>
        <family val="1"/>
      </rPr>
      <t>3</t>
    </r>
  </si>
  <si>
    <t xml:space="preserve">       -</t>
  </si>
  <si>
    <t xml:space="preserve">     -</t>
  </si>
  <si>
    <t xml:space="preserve">           (or more)</t>
  </si>
  <si>
    <t>Type of school administration  and sex</t>
  </si>
  <si>
    <t xml:space="preserve"> %  Passed </t>
  </si>
  <si>
    <t>Type of school administration and sex</t>
  </si>
  <si>
    <t>%  Passed</t>
  </si>
  <si>
    <t>No.  Passed</t>
  </si>
  <si>
    <t>No.   Passed</t>
  </si>
  <si>
    <r>
      <t xml:space="preserve"> Private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</si>
  <si>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 ECCEA: Early Childhood Care and Education Authority (Ex Pre-School Trust Fund) </t>
    </r>
  </si>
  <si>
    <r>
      <t>2</t>
    </r>
    <r>
      <rPr>
        <sz val="10"/>
        <rFont val="Times New Roman"/>
        <family val="1"/>
      </rPr>
      <t xml:space="preserve">  RC/HA: Roman Catholic and Hindu Aided Schools</t>
    </r>
  </si>
  <si>
    <t xml:space="preserve">     Rodrigues</t>
  </si>
  <si>
    <t xml:space="preserve">    Rodrigues</t>
  </si>
  <si>
    <t>2005/2006</t>
  </si>
  <si>
    <t>2006/2007</t>
  </si>
  <si>
    <t>2007/2008</t>
  </si>
  <si>
    <t>2008/2009</t>
  </si>
  <si>
    <r>
      <t xml:space="preserve">Expenditure </t>
    </r>
    <r>
      <rPr>
        <b/>
        <vertAlign val="superscript"/>
        <sz val="11"/>
        <rFont val="Times New Roman"/>
        <family val="1"/>
      </rPr>
      <t>2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</si>
  <si>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Revised</t>
    </r>
  </si>
  <si>
    <r>
      <t>2008/2009</t>
    </r>
    <r>
      <rPr>
        <vertAlign val="superscript"/>
        <sz val="11"/>
        <rFont val="Times New Roman"/>
        <family val="1"/>
      </rPr>
      <t xml:space="preserve"> 1</t>
    </r>
  </si>
  <si>
    <r>
      <t xml:space="preserve">July - Dec 2009 </t>
    </r>
    <r>
      <rPr>
        <vertAlign val="superscript"/>
        <sz val="11"/>
        <rFont val="Times New Roman"/>
        <family val="1"/>
      </rPr>
      <t>1</t>
    </r>
  </si>
  <si>
    <r>
      <t>2010</t>
    </r>
    <r>
      <rPr>
        <vertAlign val="superscript"/>
        <sz val="11"/>
        <rFont val="Times New Roman"/>
        <family val="1"/>
      </rPr>
      <t xml:space="preserve"> 1</t>
    </r>
  </si>
  <si>
    <t>Ministry of Education &amp; HR</t>
  </si>
  <si>
    <r>
      <t>2008/2009</t>
    </r>
    <r>
      <rPr>
        <vertAlign val="superscript"/>
        <sz val="11"/>
        <rFont val="Times New Roman"/>
        <family val="1"/>
      </rPr>
      <t>1</t>
    </r>
  </si>
  <si>
    <r>
      <t xml:space="preserve">2010 </t>
    </r>
    <r>
      <rPr>
        <vertAlign val="superscript"/>
        <sz val="11"/>
        <rFont val="Times New Roman"/>
        <family val="1"/>
      </rPr>
      <t>1</t>
    </r>
  </si>
  <si>
    <r>
      <t>Island of Mauritius</t>
    </r>
  </si>
  <si>
    <r>
      <t>Special Education Programmes</t>
    </r>
    <r>
      <rPr>
        <i/>
        <vertAlign val="superscript"/>
        <sz val="11"/>
        <rFont val="Times New Roman"/>
        <family val="1"/>
      </rPr>
      <t xml:space="preserve"> 2</t>
    </r>
  </si>
  <si>
    <r>
      <t>1</t>
    </r>
    <r>
      <rPr>
        <sz val="11"/>
        <rFont val="Times New Roman"/>
        <family val="1"/>
      </rPr>
      <t xml:space="preserve">  Revised Estimates          </t>
    </r>
  </si>
  <si>
    <r>
      <t>2</t>
    </r>
    <r>
      <rPr>
        <sz val="11"/>
        <rFont val="Times New Roman"/>
        <family val="1"/>
      </rPr>
      <t xml:space="preserve">  Includes Mauritius Institute of Education (MIE), Conservatoire de Musique Francois Mitterrand,  </t>
    </r>
  </si>
  <si>
    <r>
      <t xml:space="preserve">   Human Resource Development Council (HRDC), National Productivity and </t>
    </r>
    <r>
      <rPr>
        <sz val="11"/>
        <rFont val="Times New Roman"/>
        <family val="1"/>
      </rPr>
      <t xml:space="preserve"> </t>
    </r>
  </si>
  <si>
    <t xml:space="preserve">   Competitiveness Council (NPCC) &amp; Mauritius College of the Air (MCA)</t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</si>
  <si>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 Includes Mauritius Qualifications Authority (</t>
    </r>
    <r>
      <rPr>
        <sz val="10"/>
        <rFont val="Times New Roman"/>
        <family val="1"/>
      </rPr>
      <t>MQA</t>
    </r>
    <r>
      <rPr>
        <sz val="11"/>
        <rFont val="Times New Roman"/>
        <family val="1"/>
      </rPr>
      <t xml:space="preserve">), Rajiv Gandhi Science Centre &amp;      </t>
    </r>
  </si>
  <si>
    <t xml:space="preserve">   World Hindi Secretariat </t>
  </si>
  <si>
    <r>
      <t>4</t>
    </r>
    <r>
      <rPr>
        <sz val="11"/>
        <rFont val="Times New Roman"/>
        <family val="1"/>
      </rPr>
      <t xml:space="preserve">  Expenditure on Education under Ministry of Rodrigues Vote</t>
    </r>
  </si>
  <si>
    <t>Assistance for Examination fees &amp; Free travel scheme for students</t>
  </si>
  <si>
    <r>
      <t xml:space="preserve">   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63 of these schools offer academic education only and 119 both academic and pre-vocational education</t>
    </r>
  </si>
  <si>
    <r>
      <t xml:space="preserve">   </t>
    </r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>includes 119</t>
    </r>
    <r>
      <rPr>
        <sz val="10"/>
        <color indexed="8"/>
        <rFont val="Times New Roman"/>
        <family val="1"/>
      </rPr>
      <t xml:space="preserve"> secondary schools providing both academic and pre-vocational education and 5 schools providing only pre-vocational</t>
    </r>
  </si>
  <si>
    <t xml:space="preserve">Table 2.1- Total Government Expenditure, Republic of Mauritius, 2008/2009, July - December 2009 and 2010 </t>
  </si>
  <si>
    <t xml:space="preserve">Table 2.2 - Government Expenditure on Education by sector, 2008/2009, July - December 2009 and 2010 </t>
  </si>
  <si>
    <t>Source: ECCEA (Early Childhood Care Education Authority, Ex-PSTF)</t>
  </si>
  <si>
    <r>
      <t xml:space="preserve">3 </t>
    </r>
    <r>
      <rPr>
        <sz val="10"/>
        <rFont val="Times New Roman"/>
        <family val="1"/>
      </rPr>
      <t>Private: Includes pupils from NGO</t>
    </r>
  </si>
  <si>
    <t>as at December 2009</t>
  </si>
  <si>
    <t>Total Government  Expenditure, Republic of Mauritius, 2008/2009, July-December 2009 and 2010</t>
  </si>
  <si>
    <t>Government Expenditure on Education by sector, 2008/2009, July-December 2009 and 2010</t>
  </si>
  <si>
    <t>Certificate of Primary Education (CPE) examination results by  sex, 2007 - 2009</t>
  </si>
  <si>
    <t>Table 5.11 - Enrolment in schools offering pre-vocational education by district, type of administration and sex, 2010</t>
  </si>
  <si>
    <t xml:space="preserve"> Source: Tertiary Education Commisson (TEC) Report- 2009</t>
  </si>
  <si>
    <t>Source : Tertiary Education Commission (TEC) Report- 2008</t>
  </si>
  <si>
    <t xml:space="preserve">  Rodrigues</t>
  </si>
  <si>
    <t>Rodrigues</t>
  </si>
  <si>
    <t>Certificate of Primary Education Pass Rate</t>
  </si>
  <si>
    <t>Cambridge Higher School Certificate Pass Rate</t>
  </si>
  <si>
    <t>Cambridge School Certificate Pass Rate</t>
  </si>
  <si>
    <r>
      <t>5</t>
    </r>
    <r>
      <rPr>
        <sz val="11"/>
        <rFont val="Times New Roman"/>
        <family val="1"/>
      </rPr>
      <t xml:space="preserve">  Includes Maritime Training, Mauritius Institute of Health, Contribution to National Empowerment Foundation,</t>
    </r>
  </si>
  <si>
    <t xml:space="preserve">Enrolment in schools offering pre-vocational education by type of administration, year of study and sex, </t>
  </si>
  <si>
    <t>study</t>
  </si>
  <si>
    <t>Year of</t>
  </si>
  <si>
    <t xml:space="preserve">Year of 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</si>
</sst>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"/>
    <numFmt numFmtId="166" formatCode="0.0"/>
    <numFmt numFmtId="167" formatCode="#,##0\ \ \ \ "/>
    <numFmt numFmtId="168" formatCode="#,##0\ \ "/>
    <numFmt numFmtId="169" formatCode="#,##0\ \ \ "/>
    <numFmt numFmtId="170" formatCode="\-\ \ "/>
    <numFmt numFmtId="171" formatCode="#,##0.0\ \ "/>
    <numFmt numFmtId="172" formatCode="0\ \ \ \ \ "/>
    <numFmt numFmtId="173" formatCode="\-\ \ \ \ \ "/>
    <numFmt numFmtId="174" formatCode="#,##0\ \ \ \ \ \ \ \ \ \ \ "/>
    <numFmt numFmtId="175" formatCode="\-\ \ \ \ \ \ \ \ \ \ \ "/>
    <numFmt numFmtId="176" formatCode="00000"/>
    <numFmt numFmtId="177" formatCode="#,##0.0\ \ \ \ \ \ \ \ \ \ \ \ "/>
    <numFmt numFmtId="178" formatCode="#,##0.0\ \ \ \ \ \ "/>
    <numFmt numFmtId="179" formatCode="\-\ \ \ \ \ \ \ \ \ \ \ \ \ "/>
    <numFmt numFmtId="180" formatCode="#,##0\ \ \ \ \ \ "/>
    <numFmt numFmtId="181" formatCode="\ \ \ \ \ \ \ \ \ \ \ \ "/>
    <numFmt numFmtId="182" formatCode="0\ \ \ "/>
    <numFmt numFmtId="183" formatCode="#,##0\ "/>
    <numFmt numFmtId="184" formatCode="\ \ #,##0\ \ \ "/>
    <numFmt numFmtId="185" formatCode="\ \ \ \ \ \-\ \ "/>
    <numFmt numFmtId="186" formatCode="\ \ \ \ \ \ \-\ \ "/>
    <numFmt numFmtId="187" formatCode="\ \ \ \ \ \ \ \-\ \ "/>
    <numFmt numFmtId="188" formatCode="0.0\ \ \ "/>
    <numFmt numFmtId="189" formatCode="\-\ \ \ \ \ \ \ "/>
    <numFmt numFmtId="190" formatCode="\-\ \ \ \ \ \ "/>
    <numFmt numFmtId="191" formatCode="\ \ \-\ \ \ \ \ \ "/>
    <numFmt numFmtId="192" formatCode="\ \ \ \ \ \ \ \ \ \ \ \ \ General"/>
    <numFmt numFmtId="193" formatCode="#,##0\ \ \ \ \ \ \ \ \ \ \ \ "/>
    <numFmt numFmtId="194" formatCode="#,##0\ \ \ \ \ \ \ "/>
    <numFmt numFmtId="195" formatCode="\ \ \ \ \ \ \ \ \ 0"/>
    <numFmt numFmtId="196" formatCode="\ 0\ \ \ \ \ \ \ \ \ "/>
    <numFmt numFmtId="197" formatCode="\ \ \ #,##0\ \ \ \ \ \ \ \ \ \ \ "/>
    <numFmt numFmtId="198" formatCode="0\ \ \ \ "/>
    <numFmt numFmtId="199" formatCode="\ \ \ \ \ \-\ \ \ \ \ "/>
    <numFmt numFmtId="200" formatCode="0.0000"/>
    <numFmt numFmtId="201" formatCode="0.000"/>
    <numFmt numFmtId="202" formatCode="0.000000"/>
    <numFmt numFmtId="203" formatCode="0.00000"/>
    <numFmt numFmtId="204" formatCode="\ \ \ \ \ \ \ \ \ \ \ \-\ \ \ \ \ "/>
    <numFmt numFmtId="205" formatCode="\ \-\ \ \ \ \ "/>
    <numFmt numFmtId="206" formatCode="\-\ \ \ \ \ \ \ \ \ \ "/>
    <numFmt numFmtId="207" formatCode="#,##0\ \ \ \ \ \ \ \ \ \ "/>
    <numFmt numFmtId="208" formatCode="\ \ \ \-\ \ \ \ \ \ \ \ \ \ "/>
    <numFmt numFmtId="209" formatCode="\ \ \-\ \ \ \ \ "/>
    <numFmt numFmtId="210" formatCode="\ \ \ \ \ \ \ \ \-\ \ \ \ \ "/>
    <numFmt numFmtId="211" formatCode="\ \ \ \ \ \ \ \ \ \ \-\ \ \ \ \ "/>
    <numFmt numFmtId="212" formatCode="\ \ \ \ \ \ \ \ \ \ \ \ \-\ \ \ \ \ "/>
    <numFmt numFmtId="213" formatCode="\ \ \ \ \ \ \ \ \ \ \ \ \ \ \ \-\ \ \ \ \ "/>
    <numFmt numFmtId="214" formatCode="\ \ \ \ \ \ \ \ \ \ \ \ \ \-\ \ \ \ \ "/>
    <numFmt numFmtId="215" formatCode="\ \ \ \ \ \ \ \ \ \-\ \ \ \ \ "/>
    <numFmt numFmtId="216" formatCode="\ \ \ \ \ \ \ \-\ \ \ \ \ "/>
    <numFmt numFmtId="217" formatCode="[$-409]dddd\,\ mmmm\ dd\,\ yyyy"/>
    <numFmt numFmtId="218" formatCode="[$-409]h:mm:ss\ AM/PM"/>
  </numFmts>
  <fonts count="68">
    <font>
      <sz val="10"/>
      <name val="Arial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0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1"/>
      <name val="MS Sans Serif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MS Sans Serif"/>
      <family val="2"/>
    </font>
    <font>
      <b/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10.5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5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3" xfId="0" applyFont="1" applyBorder="1" applyAlignment="1">
      <alignment vertical="center"/>
    </xf>
    <xf numFmtId="174" fontId="1" fillId="0" borderId="14" xfId="0" applyNumberFormat="1" applyFont="1" applyBorder="1" applyAlignment="1">
      <alignment vertical="center"/>
    </xf>
    <xf numFmtId="180" fontId="1" fillId="0" borderId="14" xfId="0" applyNumberFormat="1" applyFont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4" fontId="1" fillId="0" borderId="16" xfId="0" applyNumberFormat="1" applyFont="1" applyBorder="1" applyAlignment="1">
      <alignment vertical="center"/>
    </xf>
    <xf numFmtId="180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80" fontId="1" fillId="0" borderId="19" xfId="0" applyNumberFormat="1" applyFont="1" applyBorder="1" applyAlignment="1">
      <alignment vertical="center"/>
    </xf>
    <xf numFmtId="174" fontId="1" fillId="0" borderId="20" xfId="0" applyNumberFormat="1" applyFont="1" applyBorder="1" applyAlignment="1">
      <alignment vertical="center"/>
    </xf>
    <xf numFmtId="180" fontId="1" fillId="0" borderId="20" xfId="0" applyNumberFormat="1" applyFont="1" applyBorder="1" applyAlignment="1">
      <alignment vertical="center"/>
    </xf>
    <xf numFmtId="174" fontId="1" fillId="0" borderId="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right" vertical="center"/>
    </xf>
    <xf numFmtId="180" fontId="1" fillId="0" borderId="14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180" fontId="1" fillId="0" borderId="20" xfId="0" applyNumberFormat="1" applyFont="1" applyBorder="1" applyAlignment="1">
      <alignment horizontal="right" vertical="center"/>
    </xf>
    <xf numFmtId="167" fontId="12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" fillId="0" borderId="23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180" fontId="1" fillId="0" borderId="24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24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80" fontId="1" fillId="0" borderId="21" xfId="0" applyNumberFormat="1" applyFont="1" applyBorder="1" applyAlignment="1">
      <alignment vertical="center"/>
    </xf>
    <xf numFmtId="180" fontId="1" fillId="0" borderId="15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80" fontId="1" fillId="0" borderId="12" xfId="0" applyNumberFormat="1" applyFont="1" applyBorder="1" applyAlignment="1">
      <alignment vertical="center"/>
    </xf>
    <xf numFmtId="180" fontId="1" fillId="0" borderId="23" xfId="0" applyNumberFormat="1" applyFont="1" applyBorder="1" applyAlignment="1">
      <alignment vertical="center"/>
    </xf>
    <xf numFmtId="0" fontId="13" fillId="0" borderId="0" xfId="72" applyFont="1">
      <alignment/>
      <protection/>
    </xf>
    <xf numFmtId="0" fontId="12" fillId="0" borderId="0" xfId="72" applyFont="1">
      <alignment/>
      <protection/>
    </xf>
    <xf numFmtId="0" fontId="1" fillId="0" borderId="23" xfId="72" applyFont="1" applyBorder="1" applyAlignment="1">
      <alignment horizontal="centerContinuous" vertical="center"/>
      <protection/>
    </xf>
    <xf numFmtId="0" fontId="1" fillId="0" borderId="23" xfId="72" applyFont="1" applyBorder="1" applyAlignment="1">
      <alignment horizontal="centerContinuous"/>
      <protection/>
    </xf>
    <xf numFmtId="0" fontId="1" fillId="0" borderId="12" xfId="72" applyFont="1" applyBorder="1" applyAlignment="1">
      <alignment horizontal="centerContinuous"/>
      <protection/>
    </xf>
    <xf numFmtId="0" fontId="1" fillId="0" borderId="0" xfId="72" applyFont="1">
      <alignment/>
      <protection/>
    </xf>
    <xf numFmtId="0" fontId="1" fillId="0" borderId="11" xfId="72" applyFont="1" applyBorder="1" applyAlignment="1">
      <alignment horizontal="centerContinuous" vertical="center"/>
      <protection/>
    </xf>
    <xf numFmtId="0" fontId="1" fillId="0" borderId="22" xfId="72" applyFont="1" applyBorder="1" applyAlignment="1">
      <alignment horizontal="center" vertical="center"/>
      <protection/>
    </xf>
    <xf numFmtId="0" fontId="1" fillId="0" borderId="17" xfId="72" applyFont="1" applyBorder="1" applyAlignment="1">
      <alignment horizontal="centerContinuous" vertical="center"/>
      <protection/>
    </xf>
    <xf numFmtId="0" fontId="1" fillId="0" borderId="22" xfId="72" applyFont="1" applyBorder="1" applyAlignment="1">
      <alignment horizontal="centerContinuous"/>
      <protection/>
    </xf>
    <xf numFmtId="0" fontId="1" fillId="0" borderId="25" xfId="72" applyFont="1" applyBorder="1" applyAlignment="1">
      <alignment horizontal="centerContinuous" vertical="center"/>
      <protection/>
    </xf>
    <xf numFmtId="0" fontId="1" fillId="0" borderId="26" xfId="72" applyFont="1" applyBorder="1" applyAlignment="1">
      <alignment horizontal="centerContinuous" vertical="center"/>
      <protection/>
    </xf>
    <xf numFmtId="0" fontId="1" fillId="0" borderId="22" xfId="72" applyFont="1" applyBorder="1" applyAlignment="1">
      <alignment horizontal="centerContinuous" vertical="center"/>
      <protection/>
    </xf>
    <xf numFmtId="0" fontId="1" fillId="0" borderId="27" xfId="72" applyFont="1" applyBorder="1" applyAlignment="1">
      <alignment horizontal="center" vertical="center"/>
      <protection/>
    </xf>
    <xf numFmtId="0" fontId="1" fillId="0" borderId="13" xfId="72" applyFont="1" applyBorder="1" applyAlignment="1">
      <alignment vertical="center"/>
      <protection/>
    </xf>
    <xf numFmtId="168" fontId="1" fillId="0" borderId="14" xfId="72" applyNumberFormat="1" applyFont="1" applyBorder="1" applyAlignment="1">
      <alignment horizontal="center" vertical="center"/>
      <protection/>
    </xf>
    <xf numFmtId="168" fontId="1" fillId="0" borderId="28" xfId="72" applyNumberFormat="1" applyFont="1" applyBorder="1" applyAlignment="1">
      <alignment horizontal="center" vertical="center"/>
      <protection/>
    </xf>
    <xf numFmtId="168" fontId="1" fillId="0" borderId="29" xfId="72" applyNumberFormat="1" applyFont="1" applyBorder="1" applyAlignment="1">
      <alignment horizontal="center" vertical="center"/>
      <protection/>
    </xf>
    <xf numFmtId="183" fontId="1" fillId="0" borderId="29" xfId="72" applyNumberFormat="1" applyFont="1" applyBorder="1" applyAlignment="1">
      <alignment horizontal="center" vertical="center"/>
      <protection/>
    </xf>
    <xf numFmtId="168" fontId="1" fillId="0" borderId="0" xfId="72" applyNumberFormat="1" applyFont="1">
      <alignment/>
      <protection/>
    </xf>
    <xf numFmtId="40" fontId="1" fillId="0" borderId="29" xfId="49" applyFont="1" applyBorder="1" applyAlignment="1">
      <alignment horizontal="center" vertical="center"/>
    </xf>
    <xf numFmtId="40" fontId="1" fillId="0" borderId="30" xfId="49" applyFont="1" applyBorder="1" applyAlignment="1">
      <alignment horizontal="center" vertical="center"/>
    </xf>
    <xf numFmtId="168" fontId="1" fillId="0" borderId="19" xfId="72" applyNumberFormat="1" applyFont="1" applyBorder="1" applyAlignment="1">
      <alignment horizontal="center" vertical="center"/>
      <protection/>
    </xf>
    <xf numFmtId="168" fontId="1" fillId="0" borderId="25" xfId="72" applyNumberFormat="1" applyFont="1" applyBorder="1" applyAlignment="1">
      <alignment horizontal="center" vertical="center"/>
      <protection/>
    </xf>
    <xf numFmtId="168" fontId="1" fillId="0" borderId="26" xfId="72" applyNumberFormat="1" applyFont="1" applyBorder="1" applyAlignment="1">
      <alignment horizontal="center" vertical="center"/>
      <protection/>
    </xf>
    <xf numFmtId="40" fontId="1" fillId="0" borderId="26" xfId="49" applyFont="1" applyBorder="1" applyAlignment="1">
      <alignment horizontal="center" vertical="center"/>
    </xf>
    <xf numFmtId="40" fontId="1" fillId="0" borderId="31" xfId="49" applyFont="1" applyBorder="1" applyAlignment="1">
      <alignment horizontal="center" vertical="center"/>
    </xf>
    <xf numFmtId="0" fontId="1" fillId="0" borderId="10" xfId="72" applyFont="1" applyBorder="1" applyAlignment="1">
      <alignment vertical="center"/>
      <protection/>
    </xf>
    <xf numFmtId="0" fontId="1" fillId="0" borderId="17" xfId="72" applyFont="1" applyBorder="1" applyAlignment="1">
      <alignment vertical="center"/>
      <protection/>
    </xf>
    <xf numFmtId="168" fontId="1" fillId="0" borderId="20" xfId="72" applyNumberFormat="1" applyFont="1" applyBorder="1" applyAlignment="1">
      <alignment horizontal="center" vertical="center"/>
      <protection/>
    </xf>
    <xf numFmtId="168" fontId="1" fillId="0" borderId="32" xfId="72" applyNumberFormat="1" applyFont="1" applyBorder="1" applyAlignment="1">
      <alignment horizontal="center" vertical="center"/>
      <protection/>
    </xf>
    <xf numFmtId="168" fontId="1" fillId="0" borderId="27" xfId="72" applyNumberFormat="1" applyFont="1" applyBorder="1" applyAlignment="1">
      <alignment horizontal="center" vertical="center"/>
      <protection/>
    </xf>
    <xf numFmtId="0" fontId="1" fillId="0" borderId="25" xfId="72" applyFont="1" applyBorder="1" applyAlignment="1">
      <alignment horizontal="center" vertical="center"/>
      <protection/>
    </xf>
    <xf numFmtId="183" fontId="1" fillId="0" borderId="28" xfId="72" applyNumberFormat="1" applyFont="1" applyBorder="1" applyAlignment="1" quotePrefix="1">
      <alignment horizontal="center" vertical="center"/>
      <protection/>
    </xf>
    <xf numFmtId="0" fontId="1" fillId="0" borderId="11" xfId="72" applyFont="1" applyBorder="1" applyAlignment="1" quotePrefix="1">
      <alignment horizontal="left" vertical="center"/>
      <protection/>
    </xf>
    <xf numFmtId="183" fontId="1" fillId="0" borderId="32" xfId="72" applyNumberFormat="1" applyFont="1" applyBorder="1" applyAlignment="1">
      <alignment horizontal="center" vertical="center"/>
      <protection/>
    </xf>
    <xf numFmtId="0" fontId="13" fillId="0" borderId="0" xfId="73" applyFont="1" applyAlignment="1">
      <alignment/>
      <protection/>
    </xf>
    <xf numFmtId="0" fontId="13" fillId="0" borderId="0" xfId="73" applyFont="1" applyAlignment="1">
      <alignment horizontal="center"/>
      <protection/>
    </xf>
    <xf numFmtId="0" fontId="20" fillId="0" borderId="0" xfId="73" applyFont="1">
      <alignment/>
      <protection/>
    </xf>
    <xf numFmtId="0" fontId="16" fillId="0" borderId="0" xfId="73">
      <alignment/>
      <protection/>
    </xf>
    <xf numFmtId="0" fontId="12" fillId="0" borderId="0" xfId="73" applyFont="1" applyAlignment="1">
      <alignment/>
      <protection/>
    </xf>
    <xf numFmtId="0" fontId="12" fillId="0" borderId="0" xfId="73" applyFont="1" applyAlignment="1">
      <alignment horizontal="center"/>
      <protection/>
    </xf>
    <xf numFmtId="0" fontId="12" fillId="0" borderId="0" xfId="66" applyFont="1">
      <alignment/>
      <protection/>
    </xf>
    <xf numFmtId="0" fontId="1" fillId="0" borderId="11" xfId="73" applyFont="1" applyBorder="1" applyAlignment="1">
      <alignment horizontal="center" vertical="center" wrapText="1"/>
      <protection/>
    </xf>
    <xf numFmtId="0" fontId="1" fillId="0" borderId="12" xfId="73" applyFont="1" applyBorder="1" applyAlignment="1">
      <alignment horizontal="center" vertical="center" wrapText="1"/>
      <protection/>
    </xf>
    <xf numFmtId="0" fontId="12" fillId="0" borderId="0" xfId="66" applyFont="1" applyAlignment="1">
      <alignment vertical="center"/>
      <protection/>
    </xf>
    <xf numFmtId="0" fontId="5" fillId="0" borderId="0" xfId="73" applyFont="1">
      <alignment/>
      <protection/>
    </xf>
    <xf numFmtId="0" fontId="1" fillId="0" borderId="0" xfId="73" applyFont="1" applyAlignment="1">
      <alignment/>
      <protection/>
    </xf>
    <xf numFmtId="0" fontId="1" fillId="0" borderId="33" xfId="73" applyFont="1" applyBorder="1" applyAlignment="1">
      <alignment horizontal="center" vertical="center" wrapText="1"/>
      <protection/>
    </xf>
    <xf numFmtId="0" fontId="1" fillId="0" borderId="34" xfId="73" applyFont="1" applyBorder="1" applyAlignment="1">
      <alignment horizontal="center" vertical="center" wrapText="1"/>
      <protection/>
    </xf>
    <xf numFmtId="0" fontId="1" fillId="0" borderId="13" xfId="73" applyFont="1" applyBorder="1" applyAlignment="1">
      <alignment/>
      <protection/>
    </xf>
    <xf numFmtId="184" fontId="12" fillId="0" borderId="13" xfId="73" applyNumberFormat="1" applyFont="1" applyBorder="1" applyAlignment="1">
      <alignment horizontal="right"/>
      <protection/>
    </xf>
    <xf numFmtId="184" fontId="12" fillId="0" borderId="35" xfId="73" applyNumberFormat="1" applyFont="1" applyBorder="1" applyAlignment="1">
      <alignment horizontal="right"/>
      <protection/>
    </xf>
    <xf numFmtId="184" fontId="12" fillId="0" borderId="0" xfId="73" applyNumberFormat="1" applyFont="1" applyBorder="1" applyAlignment="1">
      <alignment horizontal="right"/>
      <protection/>
    </xf>
    <xf numFmtId="184" fontId="12" fillId="0" borderId="36" xfId="73" applyNumberFormat="1" applyFont="1" applyBorder="1" applyAlignment="1">
      <alignment horizontal="right"/>
      <protection/>
    </xf>
    <xf numFmtId="184" fontId="12" fillId="0" borderId="24" xfId="73" applyNumberFormat="1" applyFont="1" applyBorder="1" applyAlignment="1">
      <alignment horizontal="right"/>
      <protection/>
    </xf>
    <xf numFmtId="184" fontId="12" fillId="0" borderId="30" xfId="73" applyNumberFormat="1" applyFont="1" applyBorder="1" applyAlignment="1">
      <alignment horizontal="right"/>
      <protection/>
    </xf>
    <xf numFmtId="183" fontId="12" fillId="0" borderId="29" xfId="73" applyNumberFormat="1" applyFont="1" applyBorder="1" applyAlignment="1">
      <alignment horizontal="center"/>
      <protection/>
    </xf>
    <xf numFmtId="183" fontId="12" fillId="0" borderId="36" xfId="73" applyNumberFormat="1" applyFont="1" applyBorder="1" applyAlignment="1">
      <alignment horizontal="center"/>
      <protection/>
    </xf>
    <xf numFmtId="0" fontId="5" fillId="0" borderId="0" xfId="73" applyFont="1" applyAlignment="1">
      <alignment horizontal="center"/>
      <protection/>
    </xf>
    <xf numFmtId="0" fontId="1" fillId="0" borderId="10" xfId="73" applyFont="1" applyBorder="1" applyAlignment="1">
      <alignment/>
      <protection/>
    </xf>
    <xf numFmtId="184" fontId="12" fillId="0" borderId="10" xfId="73" applyNumberFormat="1" applyFont="1" applyBorder="1" applyAlignment="1">
      <alignment horizontal="right"/>
      <protection/>
    </xf>
    <xf numFmtId="184" fontId="12" fillId="0" borderId="15" xfId="73" applyNumberFormat="1" applyFont="1" applyBorder="1" applyAlignment="1">
      <alignment horizontal="right"/>
      <protection/>
    </xf>
    <xf numFmtId="184" fontId="12" fillId="0" borderId="21" xfId="73" applyNumberFormat="1" applyFont="1" applyBorder="1" applyAlignment="1">
      <alignment horizontal="right"/>
      <protection/>
    </xf>
    <xf numFmtId="184" fontId="12" fillId="0" borderId="17" xfId="73" applyNumberFormat="1" applyFont="1" applyBorder="1" applyAlignment="1">
      <alignment horizontal="right"/>
      <protection/>
    </xf>
    <xf numFmtId="184" fontId="12" fillId="0" borderId="37" xfId="73" applyNumberFormat="1" applyFont="1" applyBorder="1" applyAlignment="1">
      <alignment horizontal="right"/>
      <protection/>
    </xf>
    <xf numFmtId="184" fontId="12" fillId="0" borderId="18" xfId="73" applyNumberFormat="1" applyFont="1" applyBorder="1" applyAlignment="1">
      <alignment horizontal="right"/>
      <protection/>
    </xf>
    <xf numFmtId="183" fontId="12" fillId="0" borderId="17" xfId="73" applyNumberFormat="1" applyFont="1" applyBorder="1" applyAlignment="1">
      <alignment horizontal="center"/>
      <protection/>
    </xf>
    <xf numFmtId="184" fontId="12" fillId="0" borderId="22" xfId="73" applyNumberFormat="1" applyFont="1" applyBorder="1" applyAlignment="1">
      <alignment horizontal="right"/>
      <protection/>
    </xf>
    <xf numFmtId="0" fontId="1" fillId="0" borderId="11" xfId="73" applyFont="1" applyBorder="1" applyAlignment="1">
      <alignment/>
      <protection/>
    </xf>
    <xf numFmtId="184" fontId="12" fillId="0" borderId="11" xfId="73" applyNumberFormat="1" applyFont="1" applyBorder="1" applyAlignment="1">
      <alignment horizontal="right"/>
      <protection/>
    </xf>
    <xf numFmtId="184" fontId="12" fillId="0" borderId="33" xfId="73" applyNumberFormat="1" applyFont="1" applyBorder="1" applyAlignment="1">
      <alignment horizontal="right"/>
      <protection/>
    </xf>
    <xf numFmtId="184" fontId="12" fillId="0" borderId="12" xfId="73" applyNumberFormat="1" applyFont="1" applyBorder="1" applyAlignment="1">
      <alignment horizontal="right"/>
      <protection/>
    </xf>
    <xf numFmtId="184" fontId="12" fillId="0" borderId="23" xfId="73" applyNumberFormat="1" applyFont="1" applyBorder="1" applyAlignment="1">
      <alignment horizontal="right"/>
      <protection/>
    </xf>
    <xf numFmtId="0" fontId="0" fillId="0" borderId="0" xfId="73" applyFont="1">
      <alignment/>
      <protection/>
    </xf>
    <xf numFmtId="0" fontId="12" fillId="0" borderId="11" xfId="73" applyFont="1" applyBorder="1" applyAlignment="1">
      <alignment horizontal="center" vertical="center" wrapText="1"/>
      <protection/>
    </xf>
    <xf numFmtId="0" fontId="12" fillId="0" borderId="12" xfId="73" applyFont="1" applyBorder="1" applyAlignment="1">
      <alignment horizontal="center" vertical="center" wrapText="1"/>
      <protection/>
    </xf>
    <xf numFmtId="0" fontId="12" fillId="0" borderId="33" xfId="73" applyFont="1" applyBorder="1" applyAlignment="1">
      <alignment horizontal="center" vertical="center" wrapText="1"/>
      <protection/>
    </xf>
    <xf numFmtId="0" fontId="12" fillId="0" borderId="34" xfId="73" applyFont="1" applyBorder="1" applyAlignment="1">
      <alignment horizontal="center" vertical="center" wrapText="1"/>
      <protection/>
    </xf>
    <xf numFmtId="0" fontId="10" fillId="0" borderId="0" xfId="73" applyFont="1" applyAlignment="1">
      <alignment/>
      <protection/>
    </xf>
    <xf numFmtId="0" fontId="12" fillId="0" borderId="0" xfId="73" applyFont="1">
      <alignment/>
      <protection/>
    </xf>
    <xf numFmtId="0" fontId="12" fillId="0" borderId="0" xfId="73" applyFont="1" applyFill="1" applyAlignment="1">
      <alignment/>
      <protection/>
    </xf>
    <xf numFmtId="0" fontId="12" fillId="0" borderId="0" xfId="73" applyFont="1" applyFill="1" applyAlignment="1">
      <alignment horizontal="center" wrapText="1"/>
      <protection/>
    </xf>
    <xf numFmtId="0" fontId="12" fillId="0" borderId="0" xfId="73" applyFont="1" applyFill="1" applyAlignment="1">
      <alignment wrapText="1"/>
      <protection/>
    </xf>
    <xf numFmtId="0" fontId="12" fillId="0" borderId="0" xfId="73" applyFont="1" applyFill="1">
      <alignment/>
      <protection/>
    </xf>
    <xf numFmtId="0" fontId="13" fillId="0" borderId="0" xfId="75" applyFont="1" applyAlignment="1" quotePrefix="1">
      <alignment horizontal="left"/>
      <protection/>
    </xf>
    <xf numFmtId="0" fontId="12" fillId="0" borderId="0" xfId="75" applyFont="1">
      <alignment/>
      <protection/>
    </xf>
    <xf numFmtId="0" fontId="21" fillId="0" borderId="0" xfId="75" applyFont="1" applyAlignment="1">
      <alignment horizontal="left"/>
      <protection/>
    </xf>
    <xf numFmtId="0" fontId="21" fillId="0" borderId="0" xfId="75" applyFont="1" applyAlignment="1">
      <alignment horizontal="centerContinuous"/>
      <protection/>
    </xf>
    <xf numFmtId="0" fontId="1" fillId="0" borderId="11" xfId="75" applyFont="1" applyBorder="1" applyAlignment="1">
      <alignment horizontal="centerContinuous" vertical="center"/>
      <protection/>
    </xf>
    <xf numFmtId="0" fontId="1" fillId="0" borderId="12" xfId="75" applyFont="1" applyBorder="1" applyAlignment="1">
      <alignment horizontal="centerContinuous" vertical="center"/>
      <protection/>
    </xf>
    <xf numFmtId="0" fontId="1" fillId="0" borderId="23" xfId="75" applyFont="1" applyBorder="1" applyAlignment="1">
      <alignment horizontal="centerContinuous" vertical="center"/>
      <protection/>
    </xf>
    <xf numFmtId="0" fontId="1" fillId="0" borderId="0" xfId="75" applyFont="1">
      <alignment/>
      <protection/>
    </xf>
    <xf numFmtId="0" fontId="1" fillId="0" borderId="32" xfId="75" applyFont="1" applyBorder="1" applyAlignment="1">
      <alignment horizontal="centerContinuous" vertical="center"/>
      <protection/>
    </xf>
    <xf numFmtId="0" fontId="1" fillId="0" borderId="34" xfId="75" applyFont="1" applyBorder="1" applyAlignment="1">
      <alignment horizontal="center" vertical="center" wrapText="1"/>
      <protection/>
    </xf>
    <xf numFmtId="0" fontId="1" fillId="0" borderId="16" xfId="75" applyFont="1" applyBorder="1" applyAlignment="1">
      <alignment vertical="center"/>
      <protection/>
    </xf>
    <xf numFmtId="183" fontId="1" fillId="0" borderId="38" xfId="75" applyNumberFormat="1" applyFont="1" applyBorder="1" applyAlignment="1">
      <alignment horizontal="right" vertical="center"/>
      <protection/>
    </xf>
    <xf numFmtId="183" fontId="1" fillId="0" borderId="21" xfId="75" applyNumberFormat="1" applyFont="1" applyBorder="1" applyAlignment="1">
      <alignment horizontal="right" vertical="center"/>
      <protection/>
    </xf>
    <xf numFmtId="0" fontId="1" fillId="0" borderId="14" xfId="75" applyFont="1" applyBorder="1" applyAlignment="1">
      <alignment vertical="center"/>
      <protection/>
    </xf>
    <xf numFmtId="183" fontId="1" fillId="0" borderId="28" xfId="75" applyNumberFormat="1" applyFont="1" applyBorder="1" applyAlignment="1">
      <alignment horizontal="right" vertical="center"/>
      <protection/>
    </xf>
    <xf numFmtId="183" fontId="1" fillId="0" borderId="24" xfId="75" applyNumberFormat="1" applyFont="1" applyBorder="1" applyAlignment="1">
      <alignment horizontal="right" vertical="center"/>
      <protection/>
    </xf>
    <xf numFmtId="0" fontId="1" fillId="0" borderId="20" xfId="75" applyFont="1" applyBorder="1" applyAlignment="1">
      <alignment vertical="center"/>
      <protection/>
    </xf>
    <xf numFmtId="183" fontId="1" fillId="0" borderId="32" xfId="75" applyNumberFormat="1" applyFont="1" applyBorder="1" applyAlignment="1">
      <alignment horizontal="right" vertical="center"/>
      <protection/>
    </xf>
    <xf numFmtId="183" fontId="1" fillId="0" borderId="12" xfId="75" applyNumberFormat="1" applyFont="1" applyBorder="1" applyAlignment="1">
      <alignment horizontal="right" vertical="center"/>
      <protection/>
    </xf>
    <xf numFmtId="0" fontId="1" fillId="0" borderId="0" xfId="75" applyFont="1" applyBorder="1" applyAlignment="1">
      <alignment vertical="center"/>
      <protection/>
    </xf>
    <xf numFmtId="183" fontId="1" fillId="0" borderId="0" xfId="75" applyNumberFormat="1" applyFont="1" applyBorder="1" applyAlignment="1">
      <alignment horizontal="right" vertical="center"/>
      <protection/>
    </xf>
    <xf numFmtId="0" fontId="13" fillId="0" borderId="0" xfId="75" applyFont="1" applyBorder="1" applyAlignment="1" quotePrefix="1">
      <alignment horizontal="left"/>
      <protection/>
    </xf>
    <xf numFmtId="0" fontId="3" fillId="0" borderId="0" xfId="75" applyFont="1" applyAlignment="1">
      <alignment horizontal="left"/>
      <protection/>
    </xf>
    <xf numFmtId="0" fontId="1" fillId="0" borderId="15" xfId="75" applyFont="1" applyBorder="1" applyAlignment="1">
      <alignment horizontal="centerContinuous" vertical="center"/>
      <protection/>
    </xf>
    <xf numFmtId="0" fontId="1" fillId="0" borderId="21" xfId="75" applyFont="1" applyBorder="1" applyAlignment="1">
      <alignment horizontal="centerContinuous" vertical="center"/>
      <protection/>
    </xf>
    <xf numFmtId="183" fontId="1" fillId="0" borderId="15" xfId="75" applyNumberFormat="1" applyFont="1" applyBorder="1" applyAlignment="1">
      <alignment horizontal="right" vertical="center"/>
      <protection/>
    </xf>
    <xf numFmtId="183" fontId="1" fillId="0" borderId="23" xfId="75" applyNumberFormat="1" applyFont="1" applyBorder="1" applyAlignment="1">
      <alignment horizontal="right" vertical="center"/>
      <protection/>
    </xf>
    <xf numFmtId="0" fontId="12" fillId="0" borderId="0" xfId="75" applyFont="1">
      <alignment/>
      <protection/>
    </xf>
    <xf numFmtId="0" fontId="12" fillId="0" borderId="0" xfId="76" applyFont="1">
      <alignment/>
      <protection/>
    </xf>
    <xf numFmtId="0" fontId="1" fillId="0" borderId="0" xfId="76" applyFont="1">
      <alignment/>
      <protection/>
    </xf>
    <xf numFmtId="0" fontId="1" fillId="0" borderId="27" xfId="76" applyFont="1" applyBorder="1" applyAlignment="1">
      <alignment horizontal="center"/>
      <protection/>
    </xf>
    <xf numFmtId="0" fontId="1" fillId="0" borderId="33" xfId="76" applyFont="1" applyBorder="1" applyAlignment="1">
      <alignment horizontal="center"/>
      <protection/>
    </xf>
    <xf numFmtId="0" fontId="1" fillId="0" borderId="22" xfId="76" applyFont="1" applyBorder="1" applyAlignment="1">
      <alignment horizontal="center"/>
      <protection/>
    </xf>
    <xf numFmtId="0" fontId="3" fillId="0" borderId="13" xfId="76" applyFont="1" applyBorder="1" applyAlignment="1">
      <alignment/>
      <protection/>
    </xf>
    <xf numFmtId="0" fontId="1" fillId="0" borderId="0" xfId="76" applyFont="1" applyBorder="1">
      <alignment/>
      <protection/>
    </xf>
    <xf numFmtId="0" fontId="1" fillId="0" borderId="23" xfId="76" applyFont="1" applyBorder="1">
      <alignment/>
      <protection/>
    </xf>
    <xf numFmtId="0" fontId="1" fillId="0" borderId="12" xfId="76" applyFont="1" applyBorder="1">
      <alignment/>
      <protection/>
    </xf>
    <xf numFmtId="0" fontId="1" fillId="0" borderId="10" xfId="76" applyFont="1" applyBorder="1" applyAlignment="1">
      <alignment horizontal="center"/>
      <protection/>
    </xf>
    <xf numFmtId="0" fontId="3" fillId="0" borderId="15" xfId="76" applyFont="1" applyBorder="1" applyAlignment="1">
      <alignment horizontal="center"/>
      <protection/>
    </xf>
    <xf numFmtId="0" fontId="3" fillId="0" borderId="21" xfId="76" applyFont="1" applyBorder="1" applyAlignment="1">
      <alignment/>
      <protection/>
    </xf>
    <xf numFmtId="3" fontId="1" fillId="0" borderId="39" xfId="76" applyNumberFormat="1" applyFont="1" applyBorder="1" applyAlignment="1">
      <alignment/>
      <protection/>
    </xf>
    <xf numFmtId="3" fontId="1" fillId="0" borderId="35" xfId="76" applyNumberFormat="1" applyFont="1" applyBorder="1" applyAlignment="1">
      <alignment/>
      <protection/>
    </xf>
    <xf numFmtId="3" fontId="1" fillId="0" borderId="40" xfId="76" applyNumberFormat="1" applyFont="1" applyBorder="1" applyAlignment="1">
      <alignment/>
      <protection/>
    </xf>
    <xf numFmtId="0" fontId="1" fillId="0" borderId="0" xfId="76" applyFont="1" applyAlignment="1">
      <alignment/>
      <protection/>
    </xf>
    <xf numFmtId="0" fontId="1" fillId="0" borderId="13" xfId="76" applyFont="1" applyBorder="1" applyAlignment="1">
      <alignment horizontal="center"/>
      <protection/>
    </xf>
    <xf numFmtId="0" fontId="3" fillId="0" borderId="0" xfId="76" applyFont="1" applyBorder="1" applyAlignment="1">
      <alignment horizontal="center"/>
      <protection/>
    </xf>
    <xf numFmtId="0" fontId="1" fillId="0" borderId="24" xfId="76" applyFont="1" applyBorder="1" applyAlignment="1">
      <alignment/>
      <protection/>
    </xf>
    <xf numFmtId="3" fontId="1" fillId="0" borderId="29" xfId="76" applyNumberFormat="1" applyFont="1" applyBorder="1" applyAlignment="1">
      <alignment/>
      <protection/>
    </xf>
    <xf numFmtId="3" fontId="1" fillId="0" borderId="36" xfId="76" applyNumberFormat="1" applyFont="1" applyBorder="1" applyAlignment="1">
      <alignment/>
      <protection/>
    </xf>
    <xf numFmtId="3" fontId="1" fillId="0" borderId="30" xfId="76" applyNumberFormat="1" applyFont="1" applyBorder="1" applyAlignment="1">
      <alignment/>
      <protection/>
    </xf>
    <xf numFmtId="0" fontId="3" fillId="0" borderId="24" xfId="76" applyFont="1" applyBorder="1" applyAlignment="1">
      <alignment horizontal="center"/>
      <protection/>
    </xf>
    <xf numFmtId="0" fontId="3" fillId="0" borderId="11" xfId="76" applyFont="1" applyBorder="1" applyAlignment="1">
      <alignment horizontal="centerContinuous"/>
      <protection/>
    </xf>
    <xf numFmtId="0" fontId="1" fillId="0" borderId="23" xfId="76" applyFont="1" applyBorder="1" applyAlignment="1">
      <alignment horizontal="centerContinuous"/>
      <protection/>
    </xf>
    <xf numFmtId="0" fontId="1" fillId="0" borderId="12" xfId="76" applyFont="1" applyBorder="1" applyAlignment="1">
      <alignment horizontal="centerContinuous"/>
      <protection/>
    </xf>
    <xf numFmtId="3" fontId="1" fillId="0" borderId="27" xfId="76" applyNumberFormat="1" applyFont="1" applyBorder="1" applyAlignment="1">
      <alignment/>
      <protection/>
    </xf>
    <xf numFmtId="3" fontId="1" fillId="0" borderId="33" xfId="76" applyNumberFormat="1" applyFont="1" applyBorder="1" applyAlignment="1">
      <alignment/>
      <protection/>
    </xf>
    <xf numFmtId="3" fontId="1" fillId="0" borderId="34" xfId="76" applyNumberFormat="1" applyFont="1" applyBorder="1" applyAlignment="1">
      <alignment/>
      <protection/>
    </xf>
    <xf numFmtId="0" fontId="1" fillId="0" borderId="15" xfId="76" applyFont="1" applyBorder="1" applyAlignment="1">
      <alignment/>
      <protection/>
    </xf>
    <xf numFmtId="0" fontId="1" fillId="0" borderId="21" xfId="76" applyFont="1" applyBorder="1" applyAlignment="1">
      <alignment/>
      <protection/>
    </xf>
    <xf numFmtId="0" fontId="1" fillId="0" borderId="15" xfId="76" applyFont="1" applyBorder="1" applyAlignment="1">
      <alignment horizontal="centerContinuous"/>
      <protection/>
    </xf>
    <xf numFmtId="0" fontId="1" fillId="0" borderId="23" xfId="76" applyFont="1" applyBorder="1" applyAlignment="1">
      <alignment/>
      <protection/>
    </xf>
    <xf numFmtId="0" fontId="1" fillId="0" borderId="22" xfId="76" applyFont="1" applyBorder="1" applyAlignment="1">
      <alignment/>
      <protection/>
    </xf>
    <xf numFmtId="0" fontId="3" fillId="0" borderId="17" xfId="76" applyFont="1" applyBorder="1" applyAlignment="1">
      <alignment/>
      <protection/>
    </xf>
    <xf numFmtId="3" fontId="1" fillId="0" borderId="23" xfId="76" applyNumberFormat="1" applyFont="1" applyBorder="1" applyAlignment="1">
      <alignment horizontal="right"/>
      <protection/>
    </xf>
    <xf numFmtId="0" fontId="1" fillId="0" borderId="12" xfId="76" applyFont="1" applyBorder="1" applyAlignment="1">
      <alignment/>
      <protection/>
    </xf>
    <xf numFmtId="0" fontId="3" fillId="0" borderId="12" xfId="76" applyFont="1" applyBorder="1" applyAlignment="1">
      <alignment horizontal="centerContinuous"/>
      <protection/>
    </xf>
    <xf numFmtId="0" fontId="13" fillId="0" borderId="24" xfId="77" applyFont="1" applyBorder="1" applyAlignment="1" quotePrefix="1">
      <alignment horizontal="left"/>
      <protection/>
    </xf>
    <xf numFmtId="0" fontId="12" fillId="0" borderId="0" xfId="77" applyFont="1">
      <alignment/>
      <protection/>
    </xf>
    <xf numFmtId="0" fontId="1" fillId="0" borderId="0" xfId="77" applyFont="1" applyAlignment="1">
      <alignment/>
      <protection/>
    </xf>
    <xf numFmtId="0" fontId="1" fillId="0" borderId="23" xfId="77" applyFont="1" applyBorder="1" applyAlignment="1">
      <alignment horizontal="centerContinuous" vertical="center"/>
      <protection/>
    </xf>
    <xf numFmtId="0" fontId="1" fillId="0" borderId="12" xfId="77" applyFont="1" applyBorder="1" applyAlignment="1">
      <alignment horizontal="centerContinuous" vertical="center"/>
      <protection/>
    </xf>
    <xf numFmtId="0" fontId="1" fillId="0" borderId="25" xfId="77" applyFont="1" applyBorder="1" applyAlignment="1">
      <alignment horizontal="centerContinuous" vertical="center"/>
      <protection/>
    </xf>
    <xf numFmtId="0" fontId="1" fillId="0" borderId="22" xfId="77" applyFont="1" applyBorder="1" applyAlignment="1">
      <alignment horizontal="centerContinuous" vertical="center"/>
      <protection/>
    </xf>
    <xf numFmtId="0" fontId="1" fillId="0" borderId="27" xfId="77" applyFont="1" applyBorder="1" applyAlignment="1">
      <alignment horizontal="center"/>
      <protection/>
    </xf>
    <xf numFmtId="0" fontId="1" fillId="0" borderId="33" xfId="77" applyFont="1" applyBorder="1" applyAlignment="1">
      <alignment horizontal="center"/>
      <protection/>
    </xf>
    <xf numFmtId="0" fontId="1" fillId="0" borderId="22" xfId="77" applyFont="1" applyBorder="1" applyAlignment="1">
      <alignment horizontal="center"/>
      <protection/>
    </xf>
    <xf numFmtId="0" fontId="3" fillId="0" borderId="13" xfId="77" applyFont="1" applyBorder="1" applyAlignment="1">
      <alignment/>
      <protection/>
    </xf>
    <xf numFmtId="0" fontId="1" fillId="0" borderId="0" xfId="77" applyFont="1" applyBorder="1">
      <alignment/>
      <protection/>
    </xf>
    <xf numFmtId="183" fontId="1" fillId="0" borderId="23" xfId="77" applyNumberFormat="1" applyFont="1" applyBorder="1" applyAlignment="1">
      <alignment horizontal="right"/>
      <protection/>
    </xf>
    <xf numFmtId="183" fontId="1" fillId="0" borderId="0" xfId="77" applyNumberFormat="1" applyFont="1" applyBorder="1" applyAlignment="1">
      <alignment horizontal="right"/>
      <protection/>
    </xf>
    <xf numFmtId="0" fontId="1" fillId="0" borderId="23" xfId="77" applyFont="1" applyBorder="1">
      <alignment/>
      <protection/>
    </xf>
    <xf numFmtId="0" fontId="1" fillId="0" borderId="0" xfId="77" applyFont="1">
      <alignment/>
      <protection/>
    </xf>
    <xf numFmtId="0" fontId="1" fillId="0" borderId="12" xfId="77" applyFont="1" applyBorder="1">
      <alignment/>
      <protection/>
    </xf>
    <xf numFmtId="0" fontId="1" fillId="0" borderId="10" xfId="77" applyFont="1" applyBorder="1" applyAlignment="1">
      <alignment horizontal="center" vertical="center"/>
      <protection/>
    </xf>
    <xf numFmtId="0" fontId="1" fillId="0" borderId="15" xfId="77" applyFont="1" applyBorder="1">
      <alignment/>
      <protection/>
    </xf>
    <xf numFmtId="0" fontId="3" fillId="0" borderId="21" xfId="77" applyFont="1" applyBorder="1" applyAlignment="1">
      <alignment horizontal="left" vertical="center"/>
      <protection/>
    </xf>
    <xf numFmtId="183" fontId="1" fillId="0" borderId="38" xfId="77" applyNumberFormat="1" applyFont="1" applyBorder="1" applyAlignment="1">
      <alignment horizontal="right" vertical="center"/>
      <protection/>
    </xf>
    <xf numFmtId="183" fontId="1" fillId="0" borderId="35" xfId="77" applyNumberFormat="1" applyFont="1" applyBorder="1" applyAlignment="1">
      <alignment horizontal="right" vertical="center"/>
      <protection/>
    </xf>
    <xf numFmtId="183" fontId="1" fillId="0" borderId="21" xfId="77" applyNumberFormat="1" applyFont="1" applyBorder="1" applyAlignment="1">
      <alignment horizontal="right" vertical="center"/>
      <protection/>
    </xf>
    <xf numFmtId="3" fontId="1" fillId="0" borderId="39" xfId="77" applyNumberFormat="1" applyFont="1" applyBorder="1" applyAlignment="1">
      <alignment horizontal="right" vertical="center"/>
      <protection/>
    </xf>
    <xf numFmtId="3" fontId="1" fillId="0" borderId="35" xfId="77" applyNumberFormat="1" applyFont="1" applyBorder="1" applyAlignment="1">
      <alignment horizontal="right" vertical="center"/>
      <protection/>
    </xf>
    <xf numFmtId="3" fontId="1" fillId="0" borderId="40" xfId="77" applyNumberFormat="1" applyFont="1" applyBorder="1" applyAlignment="1">
      <alignment horizontal="right" vertical="center"/>
      <protection/>
    </xf>
    <xf numFmtId="0" fontId="1" fillId="0" borderId="13" xfId="77" applyFont="1" applyBorder="1" applyAlignment="1">
      <alignment horizontal="center" vertical="center"/>
      <protection/>
    </xf>
    <xf numFmtId="0" fontId="3" fillId="0" borderId="24" xfId="77" applyFont="1" applyBorder="1" applyAlignment="1">
      <alignment horizontal="left" vertical="center"/>
      <protection/>
    </xf>
    <xf numFmtId="183" fontId="1" fillId="0" borderId="29" xfId="77" applyNumberFormat="1" applyFont="1" applyBorder="1" applyAlignment="1">
      <alignment horizontal="right" vertical="center"/>
      <protection/>
    </xf>
    <xf numFmtId="183" fontId="1" fillId="0" borderId="28" xfId="77" applyNumberFormat="1" applyFont="1" applyBorder="1" applyAlignment="1">
      <alignment horizontal="right" vertical="center"/>
      <protection/>
    </xf>
    <xf numFmtId="183" fontId="1" fillId="0" borderId="24" xfId="77" applyNumberFormat="1" applyFont="1" applyBorder="1" applyAlignment="1">
      <alignment horizontal="right" vertical="center"/>
      <protection/>
    </xf>
    <xf numFmtId="3" fontId="1" fillId="0" borderId="29" xfId="77" applyNumberFormat="1" applyFont="1" applyBorder="1" applyAlignment="1">
      <alignment horizontal="right" vertical="center"/>
      <protection/>
    </xf>
    <xf numFmtId="3" fontId="1" fillId="0" borderId="36" xfId="77" applyNumberFormat="1" applyFont="1" applyBorder="1" applyAlignment="1">
      <alignment horizontal="right" vertical="center"/>
      <protection/>
    </xf>
    <xf numFmtId="3" fontId="1" fillId="0" borderId="30" xfId="77" applyNumberFormat="1" applyFont="1" applyBorder="1" applyAlignment="1">
      <alignment horizontal="right" vertical="center"/>
      <protection/>
    </xf>
    <xf numFmtId="0" fontId="3" fillId="0" borderId="0" xfId="77" applyFont="1" applyBorder="1" applyAlignment="1">
      <alignment horizontal="center" vertical="center"/>
      <protection/>
    </xf>
    <xf numFmtId="0" fontId="3" fillId="0" borderId="24" xfId="77" applyFont="1" applyBorder="1" applyAlignment="1">
      <alignment horizontal="left" vertical="center"/>
      <protection/>
    </xf>
    <xf numFmtId="183" fontId="1" fillId="0" borderId="37" xfId="77" applyNumberFormat="1" applyFont="1" applyBorder="1" applyAlignment="1">
      <alignment horizontal="right" vertical="center"/>
      <protection/>
    </xf>
    <xf numFmtId="0" fontId="3" fillId="0" borderId="11" xfId="77" applyFont="1" applyBorder="1" applyAlignment="1">
      <alignment horizontal="centerContinuous" vertical="center"/>
      <protection/>
    </xf>
    <xf numFmtId="0" fontId="3" fillId="0" borderId="23" xfId="77" applyFont="1" applyBorder="1" applyAlignment="1">
      <alignment horizontal="centerContinuous" vertical="center"/>
      <protection/>
    </xf>
    <xf numFmtId="0" fontId="3" fillId="0" borderId="12" xfId="77" applyFont="1" applyBorder="1" applyAlignment="1">
      <alignment horizontal="centerContinuous" vertical="center"/>
      <protection/>
    </xf>
    <xf numFmtId="183" fontId="1" fillId="0" borderId="32" xfId="77" applyNumberFormat="1" applyFont="1" applyBorder="1" applyAlignment="1">
      <alignment horizontal="right" vertical="center"/>
      <protection/>
    </xf>
    <xf numFmtId="183" fontId="1" fillId="0" borderId="12" xfId="77" applyNumberFormat="1" applyFont="1" applyBorder="1" applyAlignment="1">
      <alignment horizontal="right" vertical="center"/>
      <protection/>
    </xf>
    <xf numFmtId="3" fontId="1" fillId="0" borderId="27" xfId="77" applyNumberFormat="1" applyFont="1" applyBorder="1" applyAlignment="1">
      <alignment horizontal="right" vertical="center"/>
      <protection/>
    </xf>
    <xf numFmtId="3" fontId="1" fillId="0" borderId="33" xfId="77" applyNumberFormat="1" applyFont="1" applyBorder="1" applyAlignment="1">
      <alignment horizontal="right" vertical="center"/>
      <protection/>
    </xf>
    <xf numFmtId="3" fontId="1" fillId="0" borderId="34" xfId="77" applyNumberFormat="1" applyFont="1" applyBorder="1" applyAlignment="1">
      <alignment horizontal="right" vertical="center"/>
      <protection/>
    </xf>
    <xf numFmtId="0" fontId="3" fillId="0" borderId="10" xfId="77" applyFont="1" applyBorder="1" applyAlignment="1">
      <alignment/>
      <protection/>
    </xf>
    <xf numFmtId="0" fontId="1" fillId="0" borderId="21" xfId="77" applyFont="1" applyBorder="1">
      <alignment/>
      <protection/>
    </xf>
    <xf numFmtId="0" fontId="1" fillId="0" borderId="15" xfId="77" applyFont="1" applyBorder="1" applyAlignment="1">
      <alignment horizontal="centerContinuous" vertical="center"/>
      <protection/>
    </xf>
    <xf numFmtId="0" fontId="1" fillId="0" borderId="0" xfId="77" applyFont="1" applyBorder="1" applyAlignment="1">
      <alignment horizontal="centerContinuous" vertical="center"/>
      <protection/>
    </xf>
    <xf numFmtId="0" fontId="1" fillId="0" borderId="23" xfId="77" applyFont="1" applyBorder="1" applyAlignment="1">
      <alignment/>
      <protection/>
    </xf>
    <xf numFmtId="0" fontId="1" fillId="0" borderId="0" xfId="77" applyFont="1" applyAlignment="1">
      <alignment/>
      <protection/>
    </xf>
    <xf numFmtId="0" fontId="1" fillId="0" borderId="12" xfId="77" applyFont="1" applyBorder="1" applyAlignment="1">
      <alignment/>
      <protection/>
    </xf>
    <xf numFmtId="0" fontId="1" fillId="0" borderId="17" xfId="77" applyFont="1" applyBorder="1" applyAlignment="1">
      <alignment horizontal="center" vertical="center"/>
      <protection/>
    </xf>
    <xf numFmtId="0" fontId="3" fillId="0" borderId="18" xfId="77" applyFont="1" applyBorder="1" applyAlignment="1">
      <alignment horizontal="center" vertical="center"/>
      <protection/>
    </xf>
    <xf numFmtId="0" fontId="3" fillId="0" borderId="11" xfId="77" applyFont="1" applyBorder="1" applyAlignment="1">
      <alignment/>
      <protection/>
    </xf>
    <xf numFmtId="183" fontId="1" fillId="0" borderId="36" xfId="77" applyNumberFormat="1" applyFont="1" applyBorder="1" applyAlignment="1">
      <alignment horizontal="right" vertical="center"/>
      <protection/>
    </xf>
    <xf numFmtId="183" fontId="1" fillId="0" borderId="40" xfId="77" applyNumberFormat="1" applyFont="1" applyBorder="1" applyAlignment="1">
      <alignment horizontal="right" vertical="center"/>
      <protection/>
    </xf>
    <xf numFmtId="183" fontId="1" fillId="0" borderId="30" xfId="77" applyNumberFormat="1" applyFont="1" applyBorder="1" applyAlignment="1">
      <alignment horizontal="right" vertical="center"/>
      <protection/>
    </xf>
    <xf numFmtId="183" fontId="1" fillId="0" borderId="33" xfId="77" applyNumberFormat="1" applyFont="1" applyBorder="1" applyAlignment="1">
      <alignment horizontal="right" vertical="center"/>
      <protection/>
    </xf>
    <xf numFmtId="183" fontId="1" fillId="0" borderId="34" xfId="77" applyNumberFormat="1" applyFont="1" applyBorder="1" applyAlignment="1">
      <alignment horizontal="right" vertical="center"/>
      <protection/>
    </xf>
    <xf numFmtId="0" fontId="13" fillId="0" borderId="0" xfId="0" applyFont="1" applyAlignment="1" quotePrefix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textRotation="90" wrapText="1"/>
    </xf>
    <xf numFmtId="0" fontId="12" fillId="0" borderId="12" xfId="0" applyFont="1" applyBorder="1" applyAlignment="1">
      <alignment horizontal="center" vertical="center" textRotation="90"/>
    </xf>
    <xf numFmtId="0" fontId="12" fillId="0" borderId="32" xfId="0" applyFont="1" applyBorder="1" applyAlignment="1">
      <alignment horizontal="center" textRotation="90"/>
    </xf>
    <xf numFmtId="170" fontId="12" fillId="0" borderId="32" xfId="0" applyNumberFormat="1" applyFont="1" applyBorder="1" applyAlignment="1">
      <alignment horizontal="center" textRotation="90"/>
    </xf>
    <xf numFmtId="0" fontId="12" fillId="0" borderId="12" xfId="0" applyFont="1" applyBorder="1" applyAlignment="1">
      <alignment horizontal="left" vertical="center" textRotation="90"/>
    </xf>
    <xf numFmtId="0" fontId="12" fillId="0" borderId="12" xfId="0" applyFont="1" applyBorder="1" applyAlignment="1">
      <alignment horizontal="center" textRotation="90"/>
    </xf>
    <xf numFmtId="0" fontId="12" fillId="0" borderId="12" xfId="0" applyFont="1" applyFill="1" applyBorder="1" applyAlignment="1">
      <alignment horizontal="center" textRotation="90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9" fontId="1" fillId="0" borderId="16" xfId="0" applyNumberFormat="1" applyFont="1" applyBorder="1" applyAlignment="1">
      <alignment vertical="center"/>
    </xf>
    <xf numFmtId="169" fontId="1" fillId="0" borderId="21" xfId="0" applyNumberFormat="1" applyFont="1" applyBorder="1" applyAlignment="1">
      <alignment vertical="center"/>
    </xf>
    <xf numFmtId="169" fontId="1" fillId="0" borderId="21" xfId="0" applyNumberFormat="1" applyFont="1" applyBorder="1" applyAlignment="1">
      <alignment horizontal="right" vertical="center"/>
    </xf>
    <xf numFmtId="169" fontId="1" fillId="0" borderId="39" xfId="0" applyNumberFormat="1" applyFont="1" applyBorder="1" applyAlignment="1">
      <alignment vertical="center"/>
    </xf>
    <xf numFmtId="169" fontId="1" fillId="0" borderId="38" xfId="0" applyNumberFormat="1" applyFont="1" applyBorder="1" applyAlignment="1">
      <alignment vertical="center"/>
    </xf>
    <xf numFmtId="169" fontId="1" fillId="0" borderId="40" xfId="0" applyNumberFormat="1" applyFont="1" applyBorder="1" applyAlignment="1">
      <alignment horizontal="right" vertical="center"/>
    </xf>
    <xf numFmtId="169" fontId="1" fillId="0" borderId="21" xfId="0" applyNumberFormat="1" applyFont="1" applyFill="1" applyBorder="1" applyAlignment="1">
      <alignment vertical="center"/>
    </xf>
    <xf numFmtId="169" fontId="12" fillId="0" borderId="0" xfId="0" applyNumberFormat="1" applyFont="1" applyFill="1" applyBorder="1" applyAlignment="1">
      <alignment horizontal="center" vertical="center"/>
    </xf>
    <xf numFmtId="169" fontId="1" fillId="0" borderId="24" xfId="0" applyNumberFormat="1" applyFont="1" applyBorder="1" applyAlignment="1">
      <alignment vertical="center"/>
    </xf>
    <xf numFmtId="169" fontId="1" fillId="0" borderId="24" xfId="0" applyNumberFormat="1" applyFont="1" applyBorder="1" applyAlignment="1">
      <alignment horizontal="right" vertical="center"/>
    </xf>
    <xf numFmtId="169" fontId="1" fillId="0" borderId="29" xfId="0" applyNumberFormat="1" applyFont="1" applyBorder="1" applyAlignment="1">
      <alignment vertical="center"/>
    </xf>
    <xf numFmtId="169" fontId="1" fillId="0" borderId="28" xfId="0" applyNumberFormat="1" applyFont="1" applyBorder="1" applyAlignment="1">
      <alignment vertical="center"/>
    </xf>
    <xf numFmtId="186" fontId="1" fillId="0" borderId="28" xfId="0" applyNumberFormat="1" applyFont="1" applyBorder="1" applyAlignment="1" quotePrefix="1">
      <alignment horizontal="center" vertical="center"/>
    </xf>
    <xf numFmtId="169" fontId="1" fillId="0" borderId="24" xfId="0" applyNumberFormat="1" applyFont="1" applyFill="1" applyBorder="1" applyAlignment="1">
      <alignment vertical="center"/>
    </xf>
    <xf numFmtId="169" fontId="1" fillId="0" borderId="30" xfId="0" applyNumberFormat="1" applyFont="1" applyBorder="1" applyAlignment="1">
      <alignment horizontal="right" vertical="center"/>
    </xf>
    <xf numFmtId="169" fontId="1" fillId="0" borderId="31" xfId="0" applyNumberFormat="1" applyFont="1" applyBorder="1" applyAlignment="1">
      <alignment horizontal="right" vertical="center"/>
    </xf>
    <xf numFmtId="169" fontId="1" fillId="0" borderId="35" xfId="0" applyNumberFormat="1" applyFont="1" applyBorder="1" applyAlignment="1">
      <alignment vertical="center"/>
    </xf>
    <xf numFmtId="169" fontId="1" fillId="0" borderId="35" xfId="0" applyNumberFormat="1" applyFont="1" applyBorder="1" applyAlignment="1">
      <alignment horizontal="right" vertical="center"/>
    </xf>
    <xf numFmtId="169" fontId="12" fillId="0" borderId="0" xfId="0" applyNumberFormat="1" applyFont="1" applyBorder="1" applyAlignment="1">
      <alignment horizontal="center" vertical="center"/>
    </xf>
    <xf numFmtId="187" fontId="1" fillId="0" borderId="26" xfId="0" applyNumberFormat="1" applyFont="1" applyBorder="1" applyAlignment="1" quotePrefix="1">
      <alignment vertical="center"/>
    </xf>
    <xf numFmtId="187" fontId="1" fillId="0" borderId="28" xfId="0" applyNumberFormat="1" applyFont="1" applyBorder="1" applyAlignment="1">
      <alignment vertical="center"/>
    </xf>
    <xf numFmtId="185" fontId="1" fillId="0" borderId="28" xfId="0" applyNumberFormat="1" applyFont="1" applyBorder="1" applyAlignment="1">
      <alignment vertical="center"/>
    </xf>
    <xf numFmtId="185" fontId="1" fillId="0" borderId="31" xfId="0" applyNumberFormat="1" applyFont="1" applyBorder="1" applyAlignment="1">
      <alignment horizontal="center" vertical="center"/>
    </xf>
    <xf numFmtId="169" fontId="1" fillId="0" borderId="19" xfId="0" applyNumberFormat="1" applyFont="1" applyFill="1" applyBorder="1" applyAlignment="1">
      <alignment vertical="center"/>
    </xf>
    <xf numFmtId="169" fontId="1" fillId="0" borderId="12" xfId="0" applyNumberFormat="1" applyFont="1" applyBorder="1" applyAlignment="1">
      <alignment vertical="center"/>
    </xf>
    <xf numFmtId="169" fontId="1" fillId="0" borderId="12" xfId="0" applyNumberFormat="1" applyFont="1" applyBorder="1" applyAlignment="1">
      <alignment horizontal="right" vertical="center"/>
    </xf>
    <xf numFmtId="169" fontId="1" fillId="0" borderId="34" xfId="0" applyNumberFormat="1" applyFont="1" applyBorder="1" applyAlignment="1">
      <alignment horizontal="right" vertical="center"/>
    </xf>
    <xf numFmtId="169" fontId="1" fillId="0" borderId="12" xfId="0" applyNumberFormat="1" applyFont="1" applyFill="1" applyBorder="1" applyAlignment="1">
      <alignment vertical="center"/>
    </xf>
    <xf numFmtId="0" fontId="22" fillId="0" borderId="15" xfId="0" applyFont="1" applyBorder="1" applyAlignment="1">
      <alignment vertical="center"/>
    </xf>
    <xf numFmtId="169" fontId="10" fillId="0" borderId="15" xfId="0" applyNumberFormat="1" applyFont="1" applyBorder="1" applyAlignment="1">
      <alignment vertical="center"/>
    </xf>
    <xf numFmtId="169" fontId="10" fillId="0" borderId="15" xfId="0" applyNumberFormat="1" applyFont="1" applyBorder="1" applyAlignment="1">
      <alignment horizontal="right" vertical="center"/>
    </xf>
    <xf numFmtId="169" fontId="10" fillId="0" borderId="15" xfId="0" applyNumberFormat="1" applyFont="1" applyFill="1" applyBorder="1" applyAlignment="1">
      <alignment vertical="center"/>
    </xf>
    <xf numFmtId="16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vertical="center" textRotation="90"/>
    </xf>
    <xf numFmtId="168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textRotation="90"/>
    </xf>
    <xf numFmtId="0" fontId="1" fillId="0" borderId="0" xfId="0" applyFont="1" applyAlignment="1" quotePrefix="1">
      <alignment horizontal="left"/>
    </xf>
    <xf numFmtId="0" fontId="12" fillId="0" borderId="18" xfId="0" applyFont="1" applyBorder="1" applyAlignment="1">
      <alignment horizontal="center" vertical="center" textRotation="90"/>
    </xf>
    <xf numFmtId="168" fontId="12" fillId="0" borderId="18" xfId="0" applyNumberFormat="1" applyFont="1" applyBorder="1" applyAlignment="1">
      <alignment horizontal="center" vertical="center" textRotation="90"/>
    </xf>
    <xf numFmtId="0" fontId="12" fillId="0" borderId="18" xfId="0" applyFont="1" applyFill="1" applyBorder="1" applyAlignment="1">
      <alignment horizontal="center" vertical="center" textRotation="90"/>
    </xf>
    <xf numFmtId="16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9" fontId="1" fillId="0" borderId="28" xfId="0" applyNumberFormat="1" applyFont="1" applyBorder="1" applyAlignment="1" quotePrefix="1">
      <alignment vertical="center"/>
    </xf>
    <xf numFmtId="169" fontId="1" fillId="0" borderId="30" xfId="0" applyNumberFormat="1" applyFont="1" applyBorder="1" applyAlignment="1">
      <alignment vertical="center"/>
    </xf>
    <xf numFmtId="169" fontId="1" fillId="0" borderId="20" xfId="0" applyNumberFormat="1" applyFont="1" applyBorder="1" applyAlignment="1">
      <alignment vertical="center"/>
    </xf>
    <xf numFmtId="169" fontId="1" fillId="0" borderId="27" xfId="0" applyNumberFormat="1" applyFont="1" applyBorder="1" applyAlignment="1">
      <alignment vertical="center"/>
    </xf>
    <xf numFmtId="169" fontId="1" fillId="0" borderId="32" xfId="0" applyNumberFormat="1" applyFont="1" applyBorder="1" applyAlignment="1">
      <alignment vertical="center"/>
    </xf>
    <xf numFmtId="169" fontId="1" fillId="0" borderId="34" xfId="0" applyNumberFormat="1" applyFont="1" applyBorder="1" applyAlignment="1">
      <alignment vertical="center"/>
    </xf>
    <xf numFmtId="169" fontId="1" fillId="0" borderId="23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9" fontId="10" fillId="0" borderId="0" xfId="0" applyNumberFormat="1" applyFont="1" applyBorder="1" applyAlignment="1">
      <alignment vertical="center"/>
    </xf>
    <xf numFmtId="169" fontId="10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3" fillId="0" borderId="0" xfId="66" applyFont="1">
      <alignment/>
      <protection/>
    </xf>
    <xf numFmtId="0" fontId="1" fillId="0" borderId="0" xfId="66" applyFont="1">
      <alignment/>
      <protection/>
    </xf>
    <xf numFmtId="166" fontId="0" fillId="0" borderId="0" xfId="0" applyNumberFormat="1" applyAlignment="1">
      <alignment horizontal="left"/>
    </xf>
    <xf numFmtId="166" fontId="12" fillId="0" borderId="0" xfId="66" applyNumberFormat="1" applyFont="1">
      <alignment/>
      <protection/>
    </xf>
    <xf numFmtId="0" fontId="4" fillId="0" borderId="0" xfId="66" applyFont="1">
      <alignment/>
      <protection/>
    </xf>
    <xf numFmtId="0" fontId="1" fillId="0" borderId="41" xfId="66" applyFont="1" applyBorder="1" applyAlignment="1">
      <alignment horizontal="centerContinuous" vertical="center"/>
      <protection/>
    </xf>
    <xf numFmtId="0" fontId="1" fillId="0" borderId="41" xfId="66" applyFont="1" applyBorder="1" applyAlignment="1">
      <alignment horizontal="centerContinuous"/>
      <protection/>
    </xf>
    <xf numFmtId="0" fontId="1" fillId="0" borderId="42" xfId="66" applyFont="1" applyBorder="1" applyAlignment="1">
      <alignment horizontal="centerContinuous"/>
      <protection/>
    </xf>
    <xf numFmtId="0" fontId="1" fillId="0" borderId="27" xfId="66" applyFont="1" applyBorder="1" applyAlignment="1">
      <alignment horizontal="centerContinuous" vertical="center" wrapText="1"/>
      <protection/>
    </xf>
    <xf numFmtId="0" fontId="1" fillId="0" borderId="33" xfId="66" applyFont="1" applyBorder="1" applyAlignment="1">
      <alignment horizontal="centerContinuous" vertical="center" wrapText="1"/>
      <protection/>
    </xf>
    <xf numFmtId="0" fontId="1" fillId="0" borderId="43" xfId="66" applyFont="1" applyBorder="1" applyAlignment="1">
      <alignment horizontal="center" vertical="center" wrapText="1"/>
      <protection/>
    </xf>
    <xf numFmtId="0" fontId="4" fillId="0" borderId="44" xfId="66" applyFont="1" applyBorder="1" applyAlignment="1">
      <alignment vertical="center" readingOrder="2"/>
      <protection/>
    </xf>
    <xf numFmtId="0" fontId="21" fillId="0" borderId="0" xfId="66" applyFont="1" applyBorder="1" applyAlignment="1">
      <alignment vertical="center"/>
      <protection/>
    </xf>
    <xf numFmtId="0" fontId="1" fillId="0" borderId="45" xfId="66" applyFont="1" applyBorder="1" applyAlignment="1">
      <alignment vertical="center"/>
      <protection/>
    </xf>
    <xf numFmtId="169" fontId="1" fillId="0" borderId="46" xfId="66" applyNumberFormat="1" applyFont="1" applyBorder="1" applyAlignment="1">
      <alignment vertical="center"/>
      <protection/>
    </xf>
    <xf numFmtId="169" fontId="1" fillId="0" borderId="28" xfId="66" applyNumberFormat="1" applyFont="1" applyBorder="1" applyAlignment="1">
      <alignment vertical="center"/>
      <protection/>
    </xf>
    <xf numFmtId="188" fontId="1" fillId="0" borderId="45" xfId="66" applyNumberFormat="1" applyFont="1" applyBorder="1" applyAlignment="1">
      <alignment vertical="center"/>
      <protection/>
    </xf>
    <xf numFmtId="0" fontId="13" fillId="0" borderId="44" xfId="66" applyFont="1" applyBorder="1" applyAlignment="1">
      <alignment vertical="center"/>
      <protection/>
    </xf>
    <xf numFmtId="0" fontId="12" fillId="0" borderId="0" xfId="66" applyFont="1" applyBorder="1" applyAlignment="1">
      <alignment vertical="center"/>
      <protection/>
    </xf>
    <xf numFmtId="169" fontId="1" fillId="0" borderId="29" xfId="66" applyNumberFormat="1" applyFont="1" applyBorder="1" applyAlignment="1">
      <alignment vertical="center"/>
      <protection/>
    </xf>
    <xf numFmtId="0" fontId="13" fillId="0" borderId="47" xfId="66" applyFont="1" applyBorder="1" applyAlignment="1">
      <alignment vertical="center"/>
      <protection/>
    </xf>
    <xf numFmtId="0" fontId="12" fillId="0" borderId="18" xfId="66" applyFont="1" applyBorder="1" applyAlignment="1">
      <alignment vertical="center"/>
      <protection/>
    </xf>
    <xf numFmtId="0" fontId="1" fillId="0" borderId="48" xfId="66" applyFont="1" applyBorder="1" applyAlignment="1">
      <alignment vertical="center"/>
      <protection/>
    </xf>
    <xf numFmtId="169" fontId="1" fillId="0" borderId="26" xfId="66" applyNumberFormat="1" applyFont="1" applyBorder="1" applyAlignment="1">
      <alignment vertical="center"/>
      <protection/>
    </xf>
    <xf numFmtId="169" fontId="1" fillId="0" borderId="37" xfId="66" applyNumberFormat="1" applyFont="1" applyFill="1" applyBorder="1" applyAlignment="1">
      <alignment vertical="center"/>
      <protection/>
    </xf>
    <xf numFmtId="188" fontId="1" fillId="0" borderId="49" xfId="66" applyNumberFormat="1" applyFont="1" applyBorder="1" applyAlignment="1">
      <alignment vertical="center"/>
      <protection/>
    </xf>
    <xf numFmtId="0" fontId="4" fillId="0" borderId="44" xfId="66" applyFont="1" applyBorder="1" applyAlignment="1">
      <alignment vertical="center"/>
      <protection/>
    </xf>
    <xf numFmtId="0" fontId="12" fillId="0" borderId="0" xfId="66" applyFont="1" applyBorder="1" applyAlignment="1">
      <alignment vertical="top"/>
      <protection/>
    </xf>
    <xf numFmtId="0" fontId="1" fillId="0" borderId="45" xfId="66" applyFont="1" applyBorder="1" applyAlignment="1">
      <alignment horizontal="left" vertical="center"/>
      <protection/>
    </xf>
    <xf numFmtId="0" fontId="13" fillId="0" borderId="44" xfId="66" applyFont="1" applyBorder="1">
      <alignment/>
      <protection/>
    </xf>
    <xf numFmtId="0" fontId="12" fillId="0" borderId="0" xfId="66" applyFont="1" applyBorder="1" applyAlignment="1">
      <alignment horizontal="left"/>
      <protection/>
    </xf>
    <xf numFmtId="169" fontId="1" fillId="0" borderId="36" xfId="66" applyNumberFormat="1" applyFont="1" applyBorder="1" applyAlignment="1">
      <alignment vertical="center"/>
      <protection/>
    </xf>
    <xf numFmtId="0" fontId="13" fillId="0" borderId="50" xfId="66" applyFont="1" applyBorder="1" applyAlignment="1">
      <alignment vertical="center"/>
      <protection/>
    </xf>
    <xf numFmtId="0" fontId="12" fillId="0" borderId="0" xfId="66" applyFont="1" applyBorder="1" applyAlignment="1">
      <alignment horizontal="left" vertical="center"/>
      <protection/>
    </xf>
    <xf numFmtId="169" fontId="1" fillId="0" borderId="37" xfId="66" applyNumberFormat="1" applyFont="1" applyBorder="1" applyAlignment="1">
      <alignment vertical="center"/>
      <protection/>
    </xf>
    <xf numFmtId="0" fontId="4" fillId="0" borderId="51" xfId="66" applyFont="1" applyBorder="1" applyAlignment="1">
      <alignment vertical="center"/>
      <protection/>
    </xf>
    <xf numFmtId="0" fontId="21" fillId="0" borderId="15" xfId="66" applyFont="1" applyBorder="1" applyAlignment="1">
      <alignment vertical="center"/>
      <protection/>
    </xf>
    <xf numFmtId="0" fontId="13" fillId="0" borderId="52" xfId="66" applyFont="1" applyBorder="1" applyAlignment="1">
      <alignment vertical="center"/>
      <protection/>
    </xf>
    <xf numFmtId="0" fontId="12" fillId="0" borderId="53" xfId="66" applyFont="1" applyBorder="1" applyAlignment="1">
      <alignment vertical="center"/>
      <protection/>
    </xf>
    <xf numFmtId="0" fontId="1" fillId="0" borderId="54" xfId="66" applyFont="1" applyBorder="1" applyAlignment="1">
      <alignment vertical="center"/>
      <protection/>
    </xf>
    <xf numFmtId="169" fontId="1" fillId="0" borderId="55" xfId="66" applyNumberFormat="1" applyFont="1" applyBorder="1" applyAlignment="1">
      <alignment vertical="center"/>
      <protection/>
    </xf>
    <xf numFmtId="169" fontId="1" fillId="0" borderId="56" xfId="66" applyNumberFormat="1" applyFont="1" applyBorder="1" applyAlignment="1">
      <alignment vertical="center"/>
      <protection/>
    </xf>
    <xf numFmtId="188" fontId="1" fillId="0" borderId="57" xfId="66" applyNumberFormat="1" applyFont="1" applyBorder="1" applyAlignment="1">
      <alignment vertical="center"/>
      <protection/>
    </xf>
    <xf numFmtId="0" fontId="1" fillId="0" borderId="10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24" xfId="0" applyFont="1" applyBorder="1" applyAlignment="1">
      <alignment horizontal="center"/>
    </xf>
    <xf numFmtId="0" fontId="1" fillId="0" borderId="39" xfId="0" applyFont="1" applyBorder="1" applyAlignment="1">
      <alignment horizontal="centerContinuous" wrapText="1"/>
    </xf>
    <xf numFmtId="0" fontId="1" fillId="0" borderId="12" xfId="0" applyFont="1" applyBorder="1" applyAlignment="1">
      <alignment horizontal="centerContinuous" wrapText="1"/>
    </xf>
    <xf numFmtId="0" fontId="1" fillId="0" borderId="27" xfId="0" applyFont="1" applyBorder="1" applyAlignment="1">
      <alignment horizontal="centerContinuous" wrapText="1"/>
    </xf>
    <xf numFmtId="0" fontId="4" fillId="0" borderId="13" xfId="0" applyFont="1" applyBorder="1" applyAlignment="1">
      <alignment horizontal="left" wrapText="1"/>
    </xf>
    <xf numFmtId="0" fontId="1" fillId="0" borderId="35" xfId="0" applyFont="1" applyBorder="1" applyAlignment="1">
      <alignment horizontal="centerContinuous" wrapText="1"/>
    </xf>
    <xf numFmtId="0" fontId="1" fillId="0" borderId="21" xfId="0" applyFont="1" applyBorder="1" applyAlignment="1">
      <alignment horizontal="centerContinuous" wrapText="1"/>
    </xf>
    <xf numFmtId="0" fontId="1" fillId="0" borderId="38" xfId="0" applyFont="1" applyBorder="1" applyAlignment="1">
      <alignment horizontal="centerContinuous" wrapText="1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left"/>
    </xf>
    <xf numFmtId="169" fontId="1" fillId="0" borderId="29" xfId="0" applyNumberFormat="1" applyFont="1" applyBorder="1" applyAlignment="1">
      <alignment/>
    </xf>
    <xf numFmtId="169" fontId="1" fillId="0" borderId="36" xfId="0" applyNumberFormat="1" applyFont="1" applyBorder="1" applyAlignment="1">
      <alignment/>
    </xf>
    <xf numFmtId="188" fontId="1" fillId="0" borderId="24" xfId="0" applyNumberFormat="1" applyFont="1" applyBorder="1" applyAlignment="1">
      <alignment/>
    </xf>
    <xf numFmtId="169" fontId="1" fillId="0" borderId="28" xfId="0" applyNumberFormat="1" applyFont="1" applyBorder="1" applyAlignment="1">
      <alignment/>
    </xf>
    <xf numFmtId="188" fontId="1" fillId="0" borderId="3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wrapText="1"/>
    </xf>
    <xf numFmtId="0" fontId="1" fillId="0" borderId="0" xfId="66" applyFont="1">
      <alignment/>
      <protection/>
    </xf>
    <xf numFmtId="0" fontId="4" fillId="0" borderId="58" xfId="0" applyFont="1" applyBorder="1" applyAlignment="1">
      <alignment horizontal="left" wrapText="1"/>
    </xf>
    <xf numFmtId="0" fontId="1" fillId="0" borderId="59" xfId="0" applyFont="1" applyBorder="1" applyAlignment="1">
      <alignment horizontal="left"/>
    </xf>
    <xf numFmtId="169" fontId="1" fillId="0" borderId="60" xfId="0" applyNumberFormat="1" applyFont="1" applyBorder="1" applyAlignment="1">
      <alignment/>
    </xf>
    <xf numFmtId="169" fontId="1" fillId="0" borderId="61" xfId="0" applyNumberFormat="1" applyFont="1" applyBorder="1" applyAlignment="1">
      <alignment/>
    </xf>
    <xf numFmtId="188" fontId="1" fillId="0" borderId="59" xfId="0" applyNumberFormat="1" applyFont="1" applyBorder="1" applyAlignment="1">
      <alignment/>
    </xf>
    <xf numFmtId="169" fontId="1" fillId="0" borderId="62" xfId="0" applyNumberFormat="1" applyFont="1" applyBorder="1" applyAlignment="1">
      <alignment/>
    </xf>
    <xf numFmtId="188" fontId="1" fillId="0" borderId="63" xfId="0" applyNumberFormat="1" applyFont="1" applyBorder="1" applyAlignment="1">
      <alignment/>
    </xf>
    <xf numFmtId="0" fontId="13" fillId="0" borderId="0" xfId="66" applyFont="1">
      <alignment/>
      <protection/>
    </xf>
    <xf numFmtId="0" fontId="4" fillId="0" borderId="0" xfId="0" applyFont="1" applyAlignment="1">
      <alignment/>
    </xf>
    <xf numFmtId="188" fontId="13" fillId="0" borderId="30" xfId="0" applyNumberFormat="1" applyFont="1" applyBorder="1" applyAlignment="1">
      <alignment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 horizontal="left"/>
    </xf>
    <xf numFmtId="169" fontId="1" fillId="0" borderId="66" xfId="0" applyNumberFormat="1" applyFont="1" applyBorder="1" applyAlignment="1">
      <alignment/>
    </xf>
    <xf numFmtId="169" fontId="1" fillId="0" borderId="67" xfId="0" applyNumberFormat="1" applyFont="1" applyBorder="1" applyAlignment="1">
      <alignment/>
    </xf>
    <xf numFmtId="188" fontId="1" fillId="0" borderId="65" xfId="0" applyNumberFormat="1" applyFont="1" applyBorder="1" applyAlignment="1">
      <alignment/>
    </xf>
    <xf numFmtId="169" fontId="1" fillId="0" borderId="68" xfId="0" applyNumberFormat="1" applyFont="1" applyBorder="1" applyAlignment="1">
      <alignment/>
    </xf>
    <xf numFmtId="188" fontId="1" fillId="0" borderId="69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169" fontId="1" fillId="0" borderId="13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 horizontal="left"/>
    </xf>
    <xf numFmtId="169" fontId="1" fillId="0" borderId="17" xfId="0" applyNumberFormat="1" applyFont="1" applyBorder="1" applyAlignment="1">
      <alignment/>
    </xf>
    <xf numFmtId="169" fontId="1" fillId="0" borderId="37" xfId="0" applyNumberFormat="1" applyFont="1" applyBorder="1" applyAlignment="1">
      <alignment/>
    </xf>
    <xf numFmtId="188" fontId="1" fillId="0" borderId="31" xfId="0" applyNumberFormat="1" applyFont="1" applyBorder="1" applyAlignment="1">
      <alignment/>
    </xf>
    <xf numFmtId="169" fontId="1" fillId="0" borderId="26" xfId="0" applyNumberFormat="1" applyFont="1" applyBorder="1" applyAlignment="1">
      <alignment/>
    </xf>
    <xf numFmtId="169" fontId="1" fillId="0" borderId="25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centerContinuous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5" xfId="0" applyFont="1" applyBorder="1" applyAlignment="1">
      <alignment horizontal="centerContinuous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Continuous"/>
    </xf>
    <xf numFmtId="0" fontId="1" fillId="0" borderId="1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3" xfId="0" applyFont="1" applyBorder="1" applyAlignment="1">
      <alignment/>
    </xf>
    <xf numFmtId="172" fontId="1" fillId="0" borderId="14" xfId="0" applyNumberFormat="1" applyFont="1" applyBorder="1" applyAlignment="1">
      <alignment horizontal="right"/>
    </xf>
    <xf numFmtId="172" fontId="1" fillId="0" borderId="28" xfId="0" applyNumberFormat="1" applyFont="1" applyBorder="1" applyAlignment="1">
      <alignment horizontal="right"/>
    </xf>
    <xf numFmtId="172" fontId="1" fillId="0" borderId="24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72" fontId="1" fillId="0" borderId="30" xfId="0" applyNumberFormat="1" applyFont="1" applyBorder="1" applyAlignment="1">
      <alignment horizontal="right"/>
    </xf>
    <xf numFmtId="172" fontId="5" fillId="0" borderId="0" xfId="0" applyNumberFormat="1" applyFont="1" applyAlignment="1">
      <alignment/>
    </xf>
    <xf numFmtId="189" fontId="1" fillId="0" borderId="28" xfId="0" applyNumberFormat="1" applyFont="1" applyBorder="1" applyAlignment="1">
      <alignment/>
    </xf>
    <xf numFmtId="189" fontId="1" fillId="0" borderId="30" xfId="0" applyNumberFormat="1" applyFont="1" applyBorder="1" applyAlignment="1">
      <alignment/>
    </xf>
    <xf numFmtId="172" fontId="1" fillId="0" borderId="19" xfId="0" applyNumberFormat="1" applyFont="1" applyBorder="1" applyAlignment="1">
      <alignment horizontal="right"/>
    </xf>
    <xf numFmtId="172" fontId="1" fillId="0" borderId="31" xfId="0" applyNumberFormat="1" applyFont="1" applyBorder="1" applyAlignment="1">
      <alignment horizontal="right"/>
    </xf>
    <xf numFmtId="189" fontId="1" fillId="0" borderId="31" xfId="0" applyNumberFormat="1" applyFont="1" applyBorder="1" applyAlignment="1">
      <alignment/>
    </xf>
    <xf numFmtId="172" fontId="1" fillId="0" borderId="15" xfId="0" applyNumberFormat="1" applyFont="1" applyBorder="1" applyAlignment="1">
      <alignment horizontal="right"/>
    </xf>
    <xf numFmtId="172" fontId="1" fillId="0" borderId="40" xfId="0" applyNumberFormat="1" applyFont="1" applyBorder="1" applyAlignment="1">
      <alignment horizontal="right"/>
    </xf>
    <xf numFmtId="172" fontId="1" fillId="0" borderId="38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center"/>
    </xf>
    <xf numFmtId="190" fontId="1" fillId="0" borderId="17" xfId="0" applyNumberFormat="1" applyFont="1" applyBorder="1" applyAlignment="1">
      <alignment/>
    </xf>
    <xf numFmtId="172" fontId="1" fillId="0" borderId="26" xfId="0" applyNumberFormat="1" applyFont="1" applyBorder="1" applyAlignment="1">
      <alignment horizontal="right"/>
    </xf>
    <xf numFmtId="189" fontId="1" fillId="0" borderId="26" xfId="0" applyNumberFormat="1" applyFont="1" applyBorder="1" applyAlignment="1">
      <alignment/>
    </xf>
    <xf numFmtId="189" fontId="1" fillId="0" borderId="2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172" fontId="1" fillId="0" borderId="20" xfId="0" applyNumberFormat="1" applyFont="1" applyBorder="1" applyAlignment="1">
      <alignment horizontal="right"/>
    </xf>
    <xf numFmtId="172" fontId="1" fillId="0" borderId="25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" fontId="1" fillId="0" borderId="30" xfId="0" applyNumberFormat="1" applyFont="1" applyBorder="1" applyAlignment="1" quotePrefix="1">
      <alignment horizontal="center"/>
    </xf>
    <xf numFmtId="1" fontId="1" fillId="0" borderId="28" xfId="0" applyNumberFormat="1" applyFont="1" applyBorder="1" applyAlignment="1" quotePrefix="1">
      <alignment horizontal="center"/>
    </xf>
    <xf numFmtId="1" fontId="5" fillId="0" borderId="0" xfId="0" applyNumberFormat="1" applyFont="1" applyAlignment="1">
      <alignment/>
    </xf>
    <xf numFmtId="1" fontId="1" fillId="0" borderId="28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191" fontId="1" fillId="0" borderId="26" xfId="0" applyNumberFormat="1" applyFont="1" applyBorder="1" applyAlignment="1">
      <alignment horizontal="right"/>
    </xf>
    <xf numFmtId="191" fontId="1" fillId="0" borderId="22" xfId="0" applyNumberFormat="1" applyFont="1" applyBorder="1" applyAlignment="1">
      <alignment horizontal="right"/>
    </xf>
    <xf numFmtId="1" fontId="1" fillId="0" borderId="31" xfId="0" applyNumberFormat="1" applyFont="1" applyBorder="1" applyAlignment="1" quotePrefix="1">
      <alignment horizontal="center"/>
    </xf>
    <xf numFmtId="1" fontId="1" fillId="0" borderId="22" xfId="0" applyNumberFormat="1" applyFont="1" applyBorder="1" applyAlignment="1" quotePrefix="1">
      <alignment horizontal="center"/>
    </xf>
    <xf numFmtId="1" fontId="1" fillId="0" borderId="2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84" fontId="12" fillId="0" borderId="13" xfId="0" applyNumberFormat="1" applyFont="1" applyBorder="1" applyAlignment="1">
      <alignment horizontal="right"/>
    </xf>
    <xf numFmtId="184" fontId="12" fillId="0" borderId="35" xfId="0" applyNumberFormat="1" applyFont="1" applyBorder="1" applyAlignment="1">
      <alignment horizontal="right"/>
    </xf>
    <xf numFmtId="184" fontId="12" fillId="0" borderId="0" xfId="0" applyNumberFormat="1" applyFont="1" applyBorder="1" applyAlignment="1">
      <alignment horizontal="right"/>
    </xf>
    <xf numFmtId="184" fontId="12" fillId="0" borderId="36" xfId="0" applyNumberFormat="1" applyFont="1" applyBorder="1" applyAlignment="1">
      <alignment horizontal="right"/>
    </xf>
    <xf numFmtId="184" fontId="12" fillId="0" borderId="24" xfId="0" applyNumberFormat="1" applyFont="1" applyBorder="1" applyAlignment="1">
      <alignment horizontal="right"/>
    </xf>
    <xf numFmtId="183" fontId="12" fillId="0" borderId="0" xfId="0" applyNumberFormat="1" applyFont="1" applyBorder="1" applyAlignment="1">
      <alignment horizontal="center"/>
    </xf>
    <xf numFmtId="183" fontId="12" fillId="0" borderId="36" xfId="0" applyNumberFormat="1" applyFont="1" applyBorder="1" applyAlignment="1">
      <alignment horizontal="center"/>
    </xf>
    <xf numFmtId="183" fontId="12" fillId="0" borderId="30" xfId="0" applyNumberFormat="1" applyFont="1" applyBorder="1" applyAlignment="1">
      <alignment horizontal="center"/>
    </xf>
    <xf numFmtId="184" fontId="12" fillId="0" borderId="10" xfId="0" applyNumberFormat="1" applyFont="1" applyBorder="1" applyAlignment="1">
      <alignment horizontal="right"/>
    </xf>
    <xf numFmtId="184" fontId="12" fillId="0" borderId="15" xfId="0" applyNumberFormat="1" applyFont="1" applyBorder="1" applyAlignment="1">
      <alignment horizontal="right"/>
    </xf>
    <xf numFmtId="184" fontId="12" fillId="0" borderId="21" xfId="0" applyNumberFormat="1" applyFont="1" applyBorder="1" applyAlignment="1">
      <alignment horizontal="right"/>
    </xf>
    <xf numFmtId="184" fontId="12" fillId="0" borderId="17" xfId="0" applyNumberFormat="1" applyFont="1" applyBorder="1" applyAlignment="1">
      <alignment horizontal="right"/>
    </xf>
    <xf numFmtId="184" fontId="12" fillId="0" borderId="37" xfId="0" applyNumberFormat="1" applyFont="1" applyBorder="1" applyAlignment="1">
      <alignment horizontal="right"/>
    </xf>
    <xf numFmtId="184" fontId="12" fillId="0" borderId="18" xfId="0" applyNumberFormat="1" applyFont="1" applyBorder="1" applyAlignment="1">
      <alignment horizontal="right"/>
    </xf>
    <xf numFmtId="183" fontId="12" fillId="0" borderId="17" xfId="0" applyNumberFormat="1" applyFont="1" applyBorder="1" applyAlignment="1">
      <alignment horizontal="center"/>
    </xf>
    <xf numFmtId="183" fontId="12" fillId="0" borderId="37" xfId="0" applyNumberFormat="1" applyFont="1" applyBorder="1" applyAlignment="1">
      <alignment horizontal="center"/>
    </xf>
    <xf numFmtId="184" fontId="12" fillId="0" borderId="22" xfId="0" applyNumberFormat="1" applyFont="1" applyBorder="1" applyAlignment="1">
      <alignment horizontal="right"/>
    </xf>
    <xf numFmtId="184" fontId="12" fillId="0" borderId="11" xfId="0" applyNumberFormat="1" applyFont="1" applyBorder="1" applyAlignment="1">
      <alignment horizontal="right"/>
    </xf>
    <xf numFmtId="184" fontId="12" fillId="0" borderId="33" xfId="0" applyNumberFormat="1" applyFont="1" applyBorder="1" applyAlignment="1">
      <alignment horizontal="right"/>
    </xf>
    <xf numFmtId="184" fontId="12" fillId="0" borderId="12" xfId="0" applyNumberFormat="1" applyFont="1" applyBorder="1" applyAlignment="1">
      <alignment horizontal="right"/>
    </xf>
    <xf numFmtId="184" fontId="12" fillId="0" borderId="23" xfId="0" applyNumberFormat="1" applyFont="1" applyBorder="1" applyAlignment="1">
      <alignment horizontal="right"/>
    </xf>
    <xf numFmtId="0" fontId="0" fillId="0" borderId="0" xfId="0" applyFont="1" applyAlignment="1">
      <alignment/>
    </xf>
    <xf numFmtId="183" fontId="12" fillId="0" borderId="31" xfId="0" applyNumberFormat="1" applyFont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0" xfId="67" applyFont="1">
      <alignment/>
      <protection/>
    </xf>
    <xf numFmtId="0" fontId="3" fillId="0" borderId="0" xfId="67" applyFont="1" applyAlignment="1">
      <alignment vertical="center"/>
      <protection/>
    </xf>
    <xf numFmtId="0" fontId="1" fillId="0" borderId="16" xfId="67" applyFont="1" applyBorder="1" applyAlignment="1">
      <alignment horizontal="centerContinuous"/>
      <protection/>
    </xf>
    <xf numFmtId="0" fontId="1" fillId="0" borderId="11" xfId="67" applyFont="1" applyBorder="1" applyAlignment="1">
      <alignment horizontal="centerContinuous"/>
      <protection/>
    </xf>
    <xf numFmtId="0" fontId="1" fillId="0" borderId="0" xfId="67" applyFont="1">
      <alignment/>
      <protection/>
    </xf>
    <xf numFmtId="0" fontId="1" fillId="0" borderId="27" xfId="67" applyFont="1" applyBorder="1" applyAlignment="1">
      <alignment horizontal="centerContinuous" vertical="center"/>
      <protection/>
    </xf>
    <xf numFmtId="0" fontId="1" fillId="0" borderId="33" xfId="67" applyFont="1" applyBorder="1" applyAlignment="1">
      <alignment horizontal="centerContinuous" vertical="center"/>
      <protection/>
    </xf>
    <xf numFmtId="0" fontId="1" fillId="0" borderId="33" xfId="67" applyFont="1" applyBorder="1" applyAlignment="1">
      <alignment horizontal="centerContinuous" vertical="center" wrapText="1"/>
      <protection/>
    </xf>
    <xf numFmtId="0" fontId="1" fillId="0" borderId="70" xfId="67" applyFont="1" applyBorder="1" applyAlignment="1">
      <alignment horizontal="centerContinuous" vertical="center" wrapText="1"/>
      <protection/>
    </xf>
    <xf numFmtId="0" fontId="1" fillId="0" borderId="19" xfId="67" applyFont="1" applyBorder="1" applyAlignment="1">
      <alignment horizontal="centerContinuous" vertical="center"/>
      <protection/>
    </xf>
    <xf numFmtId="0" fontId="1" fillId="0" borderId="15" xfId="67" applyFont="1" applyBorder="1" applyAlignment="1">
      <alignment horizontal="centerContinuous"/>
      <protection/>
    </xf>
    <xf numFmtId="0" fontId="1" fillId="0" borderId="21" xfId="67" applyFont="1" applyBorder="1" applyAlignment="1">
      <alignment horizontal="centerContinuous"/>
      <protection/>
    </xf>
    <xf numFmtId="0" fontId="1" fillId="0" borderId="23" xfId="67" applyFont="1" applyBorder="1" applyAlignment="1">
      <alignment horizontal="centerContinuous"/>
      <protection/>
    </xf>
    <xf numFmtId="0" fontId="12" fillId="0" borderId="0" xfId="68" applyFont="1">
      <alignment/>
      <protection/>
    </xf>
    <xf numFmtId="0" fontId="1" fillId="0" borderId="23" xfId="68" applyFont="1" applyBorder="1" applyAlignment="1">
      <alignment horizontal="centerContinuous" vertical="center"/>
      <protection/>
    </xf>
    <xf numFmtId="0" fontId="1" fillId="0" borderId="12" xfId="68" applyFont="1" applyBorder="1" applyAlignment="1">
      <alignment horizontal="centerContinuous" vertical="center"/>
      <protection/>
    </xf>
    <xf numFmtId="0" fontId="1" fillId="0" borderId="25" xfId="68" applyFont="1" applyBorder="1" applyAlignment="1">
      <alignment horizontal="centerContinuous" vertical="center" wrapText="1"/>
      <protection/>
    </xf>
    <xf numFmtId="0" fontId="1" fillId="0" borderId="25" xfId="68" applyFont="1" applyBorder="1" applyAlignment="1">
      <alignment horizontal="centerContinuous" vertical="center"/>
      <protection/>
    </xf>
    <xf numFmtId="0" fontId="1" fillId="0" borderId="34" xfId="68" applyFont="1" applyBorder="1" applyAlignment="1">
      <alignment horizontal="centerContinuous" vertical="center"/>
      <protection/>
    </xf>
    <xf numFmtId="0" fontId="1" fillId="0" borderId="10" xfId="68" applyFont="1" applyBorder="1" applyAlignment="1">
      <alignment horizontal="center"/>
      <protection/>
    </xf>
    <xf numFmtId="0" fontId="3" fillId="0" borderId="15" xfId="68" applyFont="1" applyBorder="1" applyAlignment="1">
      <alignment horizontal="right"/>
      <protection/>
    </xf>
    <xf numFmtId="0" fontId="3" fillId="0" borderId="21" xfId="68" applyFont="1" applyBorder="1" applyAlignment="1">
      <alignment/>
      <protection/>
    </xf>
    <xf numFmtId="168" fontId="1" fillId="0" borderId="38" xfId="68" applyNumberFormat="1" applyFont="1" applyBorder="1" applyAlignment="1">
      <alignment/>
      <protection/>
    </xf>
    <xf numFmtId="168" fontId="1" fillId="0" borderId="21" xfId="68" applyNumberFormat="1" applyFont="1" applyBorder="1" applyAlignment="1">
      <alignment/>
      <protection/>
    </xf>
    <xf numFmtId="0" fontId="1" fillId="0" borderId="13" xfId="68" applyFont="1" applyBorder="1" applyAlignment="1">
      <alignment horizontal="center"/>
      <protection/>
    </xf>
    <xf numFmtId="0" fontId="3" fillId="0" borderId="0" xfId="68" applyFont="1" applyBorder="1" applyAlignment="1">
      <alignment horizontal="right"/>
      <protection/>
    </xf>
    <xf numFmtId="0" fontId="3" fillId="0" borderId="24" xfId="68" applyFont="1" applyBorder="1" applyAlignment="1">
      <alignment/>
      <protection/>
    </xf>
    <xf numFmtId="168" fontId="1" fillId="0" borderId="28" xfId="68" applyNumberFormat="1" applyFont="1" applyBorder="1" applyAlignment="1">
      <alignment/>
      <protection/>
    </xf>
    <xf numFmtId="168" fontId="1" fillId="0" borderId="24" xfId="68" applyNumberFormat="1" applyFont="1" applyBorder="1" applyAlignment="1">
      <alignment/>
      <protection/>
    </xf>
    <xf numFmtId="0" fontId="3" fillId="0" borderId="24" xfId="68" applyFont="1" applyBorder="1" applyAlignment="1">
      <alignment horizontal="center"/>
      <protection/>
    </xf>
    <xf numFmtId="0" fontId="1" fillId="0" borderId="17" xfId="68" applyFont="1" applyBorder="1" applyAlignment="1">
      <alignment horizontal="center"/>
      <protection/>
    </xf>
    <xf numFmtId="0" fontId="3" fillId="0" borderId="22" xfId="68" applyFont="1" applyBorder="1" applyAlignment="1">
      <alignment horizontal="center"/>
      <protection/>
    </xf>
    <xf numFmtId="0" fontId="3" fillId="0" borderId="11" xfId="68" applyFont="1" applyBorder="1" applyAlignment="1">
      <alignment horizontal="centerContinuous"/>
      <protection/>
    </xf>
    <xf numFmtId="0" fontId="1" fillId="0" borderId="12" xfId="68" applyFont="1" applyBorder="1" applyAlignment="1">
      <alignment horizontal="centerContinuous"/>
      <protection/>
    </xf>
    <xf numFmtId="168" fontId="1" fillId="0" borderId="32" xfId="68" applyNumberFormat="1" applyFont="1" applyBorder="1" applyAlignment="1">
      <alignment/>
      <protection/>
    </xf>
    <xf numFmtId="168" fontId="1" fillId="0" borderId="33" xfId="68" applyNumberFormat="1" applyFont="1" applyBorder="1" applyAlignment="1">
      <alignment/>
      <protection/>
    </xf>
    <xf numFmtId="168" fontId="1" fillId="0" borderId="12" xfId="68" applyNumberFormat="1" applyFont="1" applyBorder="1" applyAlignment="1">
      <alignment/>
      <protection/>
    </xf>
    <xf numFmtId="168" fontId="1" fillId="0" borderId="36" xfId="68" applyNumberFormat="1" applyFont="1" applyBorder="1" applyAlignment="1">
      <alignment/>
      <protection/>
    </xf>
    <xf numFmtId="168" fontId="1" fillId="0" borderId="70" xfId="68" applyNumberFormat="1" applyFont="1" applyBorder="1" applyAlignment="1">
      <alignment/>
      <protection/>
    </xf>
    <xf numFmtId="168" fontId="1" fillId="0" borderId="34" xfId="68" applyNumberFormat="1" applyFont="1" applyBorder="1" applyAlignment="1">
      <alignment/>
      <protection/>
    </xf>
    <xf numFmtId="168" fontId="1" fillId="0" borderId="10" xfId="68" applyNumberFormat="1" applyFont="1" applyBorder="1">
      <alignment/>
      <protection/>
    </xf>
    <xf numFmtId="168" fontId="1" fillId="0" borderId="35" xfId="68" applyNumberFormat="1" applyFont="1" applyBorder="1" applyAlignment="1">
      <alignment/>
      <protection/>
    </xf>
    <xf numFmtId="168" fontId="1" fillId="0" borderId="21" xfId="68" applyNumberFormat="1" applyFont="1" applyBorder="1">
      <alignment/>
      <protection/>
    </xf>
    <xf numFmtId="168" fontId="1" fillId="0" borderId="13" xfId="68" applyNumberFormat="1" applyFont="1" applyBorder="1">
      <alignment/>
      <protection/>
    </xf>
    <xf numFmtId="168" fontId="1" fillId="0" borderId="24" xfId="68" applyNumberFormat="1" applyFont="1" applyBorder="1">
      <alignment/>
      <protection/>
    </xf>
    <xf numFmtId="0" fontId="12" fillId="0" borderId="0" xfId="68" applyFont="1" applyAlignment="1">
      <alignment/>
      <protection/>
    </xf>
    <xf numFmtId="0" fontId="12" fillId="0" borderId="0" xfId="68" applyFont="1" applyBorder="1" applyAlignment="1">
      <alignment/>
      <protection/>
    </xf>
    <xf numFmtId="0" fontId="13" fillId="0" borderId="0" xfId="69" applyFont="1" applyAlignment="1" quotePrefix="1">
      <alignment horizontal="left"/>
      <protection/>
    </xf>
    <xf numFmtId="0" fontId="1" fillId="0" borderId="0" xfId="69" applyFont="1">
      <alignment/>
      <protection/>
    </xf>
    <xf numFmtId="0" fontId="1" fillId="0" borderId="23" xfId="69" applyFont="1" applyBorder="1" applyAlignment="1">
      <alignment horizontal="centerContinuous" vertical="center"/>
      <protection/>
    </xf>
    <xf numFmtId="0" fontId="1" fillId="0" borderId="12" xfId="69" applyFont="1" applyBorder="1" applyAlignment="1">
      <alignment horizontal="centerContinuous" vertical="center"/>
      <protection/>
    </xf>
    <xf numFmtId="0" fontId="1" fillId="0" borderId="25" xfId="69" applyFont="1" applyBorder="1" applyAlignment="1">
      <alignment horizontal="centerContinuous" vertical="center" wrapText="1"/>
      <protection/>
    </xf>
    <xf numFmtId="0" fontId="1" fillId="0" borderId="25" xfId="69" applyFont="1" applyBorder="1" applyAlignment="1">
      <alignment horizontal="centerContinuous" vertical="center"/>
      <protection/>
    </xf>
    <xf numFmtId="0" fontId="1" fillId="0" borderId="34" xfId="69" applyFont="1" applyBorder="1" applyAlignment="1">
      <alignment horizontal="center" vertical="center"/>
      <protection/>
    </xf>
    <xf numFmtId="0" fontId="1" fillId="0" borderId="10" xfId="69" applyFont="1" applyBorder="1" applyAlignment="1">
      <alignment horizontal="center" vertical="center"/>
      <protection/>
    </xf>
    <xf numFmtId="0" fontId="1" fillId="0" borderId="21" xfId="69" applyFont="1" applyBorder="1" applyAlignment="1">
      <alignment horizontal="left"/>
      <protection/>
    </xf>
    <xf numFmtId="0" fontId="1" fillId="0" borderId="13" xfId="69" applyFont="1" applyBorder="1" applyAlignment="1">
      <alignment horizontal="center" vertical="center"/>
      <protection/>
    </xf>
    <xf numFmtId="0" fontId="1" fillId="0" borderId="24" xfId="69" applyFont="1" applyBorder="1" applyAlignment="1">
      <alignment horizontal="left"/>
      <protection/>
    </xf>
    <xf numFmtId="0" fontId="3" fillId="0" borderId="11" xfId="69" applyFont="1" applyBorder="1" applyAlignment="1">
      <alignment horizontal="centerContinuous" vertical="center"/>
      <protection/>
    </xf>
    <xf numFmtId="0" fontId="3" fillId="0" borderId="23" xfId="69" applyFont="1" applyBorder="1" applyAlignment="1">
      <alignment horizontal="left" vertical="center"/>
      <protection/>
    </xf>
    <xf numFmtId="172" fontId="1" fillId="0" borderId="16" xfId="0" applyNumberFormat="1" applyFont="1" applyBorder="1" applyAlignment="1">
      <alignment horizontal="right"/>
    </xf>
    <xf numFmtId="184" fontId="1" fillId="0" borderId="13" xfId="0" applyNumberFormat="1" applyFont="1" applyBorder="1" applyAlignment="1">
      <alignment horizontal="right"/>
    </xf>
    <xf numFmtId="184" fontId="1" fillId="0" borderId="35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1" fillId="0" borderId="36" xfId="0" applyNumberFormat="1" applyFont="1" applyBorder="1" applyAlignment="1">
      <alignment horizontal="right"/>
    </xf>
    <xf numFmtId="184" fontId="1" fillId="0" borderId="24" xfId="0" applyNumberFormat="1" applyFont="1" applyBorder="1" applyAlignment="1">
      <alignment horizontal="right"/>
    </xf>
    <xf numFmtId="184" fontId="1" fillId="0" borderId="10" xfId="0" applyNumberFormat="1" applyFont="1" applyBorder="1" applyAlignment="1">
      <alignment horizontal="right"/>
    </xf>
    <xf numFmtId="184" fontId="1" fillId="0" borderId="15" xfId="0" applyNumberFormat="1" applyFont="1" applyBorder="1" applyAlignment="1">
      <alignment horizontal="right"/>
    </xf>
    <xf numFmtId="184" fontId="1" fillId="0" borderId="21" xfId="0" applyNumberFormat="1" applyFont="1" applyBorder="1" applyAlignment="1">
      <alignment horizontal="right"/>
    </xf>
    <xf numFmtId="184" fontId="1" fillId="0" borderId="17" xfId="0" applyNumberFormat="1" applyFont="1" applyBorder="1" applyAlignment="1">
      <alignment horizontal="right"/>
    </xf>
    <xf numFmtId="184" fontId="1" fillId="0" borderId="37" xfId="0" applyNumberFormat="1" applyFont="1" applyBorder="1" applyAlignment="1">
      <alignment horizontal="right"/>
    </xf>
    <xf numFmtId="184" fontId="1" fillId="0" borderId="18" xfId="0" applyNumberFormat="1" applyFont="1" applyBorder="1" applyAlignment="1">
      <alignment horizontal="right"/>
    </xf>
    <xf numFmtId="183" fontId="1" fillId="0" borderId="17" xfId="0" applyNumberFormat="1" applyFont="1" applyBorder="1" applyAlignment="1">
      <alignment horizontal="center"/>
    </xf>
    <xf numFmtId="183" fontId="1" fillId="0" borderId="37" xfId="0" applyNumberFormat="1" applyFont="1" applyBorder="1" applyAlignment="1">
      <alignment horizontal="center"/>
    </xf>
    <xf numFmtId="183" fontId="1" fillId="0" borderId="0" xfId="0" applyNumberFormat="1" applyFont="1" applyBorder="1" applyAlignment="1">
      <alignment horizontal="center"/>
    </xf>
    <xf numFmtId="184" fontId="1" fillId="0" borderId="22" xfId="0" applyNumberFormat="1" applyFont="1" applyBorder="1" applyAlignment="1">
      <alignment horizontal="right"/>
    </xf>
    <xf numFmtId="184" fontId="1" fillId="0" borderId="11" xfId="0" applyNumberFormat="1" applyFont="1" applyBorder="1" applyAlignment="1">
      <alignment horizontal="right"/>
    </xf>
    <xf numFmtId="184" fontId="1" fillId="0" borderId="33" xfId="0" applyNumberFormat="1" applyFont="1" applyBorder="1" applyAlignment="1">
      <alignment horizontal="right"/>
    </xf>
    <xf numFmtId="184" fontId="1" fillId="0" borderId="23" xfId="0" applyNumberFormat="1" applyFont="1" applyBorder="1" applyAlignment="1">
      <alignment horizontal="right"/>
    </xf>
    <xf numFmtId="184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66" applyFont="1" applyBorder="1" applyAlignment="1">
      <alignment/>
      <protection/>
    </xf>
    <xf numFmtId="0" fontId="1" fillId="0" borderId="33" xfId="0" applyFont="1" applyBorder="1" applyAlignment="1">
      <alignment horizontal="center"/>
    </xf>
    <xf numFmtId="0" fontId="1" fillId="0" borderId="24" xfId="0" applyFont="1" applyBorder="1" applyAlignment="1">
      <alignment/>
    </xf>
    <xf numFmtId="167" fontId="1" fillId="0" borderId="13" xfId="0" applyNumberFormat="1" applyFont="1" applyBorder="1" applyAlignment="1">
      <alignment/>
    </xf>
    <xf numFmtId="167" fontId="1" fillId="0" borderId="36" xfId="0" applyNumberFormat="1" applyFont="1" applyBorder="1" applyAlignment="1">
      <alignment/>
    </xf>
    <xf numFmtId="167" fontId="1" fillId="0" borderId="24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1" fillId="0" borderId="35" xfId="0" applyNumberFormat="1" applyFont="1" applyBorder="1" applyAlignment="1">
      <alignment/>
    </xf>
    <xf numFmtId="167" fontId="1" fillId="0" borderId="21" xfId="0" applyNumberFormat="1" applyFont="1" applyBorder="1" applyAlignment="1">
      <alignment/>
    </xf>
    <xf numFmtId="167" fontId="1" fillId="0" borderId="17" xfId="0" applyNumberFormat="1" applyFont="1" applyBorder="1" applyAlignment="1">
      <alignment/>
    </xf>
    <xf numFmtId="167" fontId="1" fillId="0" borderId="37" xfId="0" applyNumberFormat="1" applyFont="1" applyBorder="1" applyAlignment="1">
      <alignment/>
    </xf>
    <xf numFmtId="167" fontId="1" fillId="0" borderId="22" xfId="0" applyNumberFormat="1" applyFont="1" applyBorder="1" applyAlignment="1">
      <alignment/>
    </xf>
    <xf numFmtId="0" fontId="1" fillId="0" borderId="21" xfId="0" applyFont="1" applyBorder="1" applyAlignment="1">
      <alignment/>
    </xf>
    <xf numFmtId="167" fontId="1" fillId="0" borderId="15" xfId="0" applyNumberFormat="1" applyFont="1" applyBorder="1" applyAlignment="1">
      <alignment/>
    </xf>
    <xf numFmtId="167" fontId="1" fillId="0" borderId="31" xfId="0" applyNumberFormat="1" applyFont="1" applyBorder="1" applyAlignment="1">
      <alignment/>
    </xf>
    <xf numFmtId="0" fontId="1" fillId="0" borderId="12" xfId="0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1" fillId="0" borderId="33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167" fontId="1" fillId="0" borderId="2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167" fontId="1" fillId="0" borderId="21" xfId="0" applyNumberFormat="1" applyFont="1" applyBorder="1" applyAlignment="1">
      <alignment horizontal="right"/>
    </xf>
    <xf numFmtId="167" fontId="1" fillId="0" borderId="10" xfId="0" applyNumberFormat="1" applyFont="1" applyBorder="1" applyAlignment="1">
      <alignment horizontal="right"/>
    </xf>
    <xf numFmtId="167" fontId="1" fillId="0" borderId="35" xfId="0" applyNumberFormat="1" applyFont="1" applyBorder="1" applyAlignment="1">
      <alignment horizontal="right"/>
    </xf>
    <xf numFmtId="167" fontId="1" fillId="0" borderId="13" xfId="0" applyNumberFormat="1" applyFont="1" applyBorder="1" applyAlignment="1">
      <alignment horizontal="right"/>
    </xf>
    <xf numFmtId="167" fontId="1" fillId="0" borderId="36" xfId="0" applyNumberFormat="1" applyFont="1" applyBorder="1" applyAlignment="1">
      <alignment horizontal="right"/>
    </xf>
    <xf numFmtId="167" fontId="1" fillId="0" borderId="24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0" fontId="12" fillId="0" borderId="0" xfId="66" applyFont="1">
      <alignment/>
      <protection/>
    </xf>
    <xf numFmtId="0" fontId="12" fillId="0" borderId="0" xfId="70" applyFont="1">
      <alignment/>
      <protection/>
    </xf>
    <xf numFmtId="0" fontId="12" fillId="0" borderId="0" xfId="70" applyFont="1" applyBorder="1">
      <alignment/>
      <protection/>
    </xf>
    <xf numFmtId="0" fontId="1" fillId="0" borderId="15" xfId="70" applyFont="1" applyBorder="1" applyAlignment="1">
      <alignment horizontal="centerContinuous" vertical="center"/>
      <protection/>
    </xf>
    <xf numFmtId="0" fontId="1" fillId="0" borderId="10" xfId="70" applyFont="1" applyBorder="1" applyAlignment="1">
      <alignment horizontal="centerContinuous" vertical="center"/>
      <protection/>
    </xf>
    <xf numFmtId="0" fontId="1" fillId="0" borderId="15" xfId="70" applyFont="1" applyBorder="1" applyAlignment="1">
      <alignment horizontal="centerContinuous"/>
      <protection/>
    </xf>
    <xf numFmtId="0" fontId="1" fillId="0" borderId="12" xfId="70" applyFont="1" applyBorder="1" applyAlignment="1">
      <alignment horizontal="centerContinuous"/>
      <protection/>
    </xf>
    <xf numFmtId="0" fontId="1" fillId="0" borderId="21" xfId="70" applyFont="1" applyBorder="1" applyAlignment="1">
      <alignment horizontal="centerContinuous"/>
      <protection/>
    </xf>
    <xf numFmtId="0" fontId="1" fillId="0" borderId="23" xfId="70" applyFont="1" applyBorder="1" applyAlignment="1">
      <alignment horizontal="centerContinuous" vertical="center"/>
      <protection/>
    </xf>
    <xf numFmtId="0" fontId="1" fillId="0" borderId="33" xfId="70" applyFont="1" applyBorder="1" applyAlignment="1">
      <alignment horizontal="centerContinuous" vertical="center"/>
      <protection/>
    </xf>
    <xf numFmtId="0" fontId="1" fillId="0" borderId="11" xfId="70" applyFont="1" applyBorder="1" applyAlignment="1">
      <alignment horizontal="centerContinuous" vertical="center"/>
      <protection/>
    </xf>
    <xf numFmtId="0" fontId="1" fillId="0" borderId="12" xfId="70" applyFont="1" applyBorder="1" applyAlignment="1">
      <alignment horizontal="centerContinuous" vertical="center"/>
      <protection/>
    </xf>
    <xf numFmtId="0" fontId="1" fillId="0" borderId="16" xfId="70" applyFont="1" applyBorder="1" applyAlignment="1">
      <alignment vertical="center"/>
      <protection/>
    </xf>
    <xf numFmtId="0" fontId="1" fillId="0" borderId="15" xfId="70" applyFont="1" applyBorder="1" applyAlignment="1">
      <alignment vertical="center"/>
      <protection/>
    </xf>
    <xf numFmtId="0" fontId="1" fillId="0" borderId="24" xfId="70" applyFont="1" applyBorder="1" applyAlignment="1">
      <alignment vertical="center"/>
      <protection/>
    </xf>
    <xf numFmtId="180" fontId="1" fillId="0" borderId="13" xfId="70" applyNumberFormat="1" applyFont="1" applyBorder="1" applyAlignment="1">
      <alignment horizontal="right" vertical="center"/>
      <protection/>
    </xf>
    <xf numFmtId="180" fontId="1" fillId="0" borderId="36" xfId="70" applyNumberFormat="1" applyFont="1" applyBorder="1" applyAlignment="1">
      <alignment horizontal="right" vertical="center"/>
      <protection/>
    </xf>
    <xf numFmtId="180" fontId="1" fillId="0" borderId="35" xfId="70" applyNumberFormat="1" applyFont="1" applyBorder="1" applyAlignment="1">
      <alignment horizontal="right" vertical="center"/>
      <protection/>
    </xf>
    <xf numFmtId="180" fontId="1" fillId="0" borderId="15" xfId="70" applyNumberFormat="1" applyFont="1" applyBorder="1" applyAlignment="1">
      <alignment horizontal="right" vertical="center"/>
      <protection/>
    </xf>
    <xf numFmtId="180" fontId="1" fillId="0" borderId="10" xfId="70" applyNumberFormat="1" applyFont="1" applyBorder="1" applyAlignment="1">
      <alignment horizontal="right" vertical="center"/>
      <protection/>
    </xf>
    <xf numFmtId="180" fontId="1" fillId="0" borderId="21" xfId="70" applyNumberFormat="1" applyFont="1" applyBorder="1" applyAlignment="1">
      <alignment horizontal="right" vertical="center"/>
      <protection/>
    </xf>
    <xf numFmtId="0" fontId="1" fillId="0" borderId="14" xfId="70" applyFont="1" applyBorder="1" applyAlignment="1">
      <alignment vertical="center"/>
      <protection/>
    </xf>
    <xf numFmtId="0" fontId="1" fillId="0" borderId="0" xfId="70" applyFont="1" applyBorder="1" applyAlignment="1">
      <alignment vertical="center"/>
      <protection/>
    </xf>
    <xf numFmtId="180" fontId="1" fillId="0" borderId="0" xfId="70" applyNumberFormat="1" applyFont="1" applyBorder="1" applyAlignment="1">
      <alignment horizontal="right" vertical="center"/>
      <protection/>
    </xf>
    <xf numFmtId="180" fontId="1" fillId="0" borderId="24" xfId="70" applyNumberFormat="1" applyFont="1" applyBorder="1" applyAlignment="1">
      <alignment horizontal="right" vertical="center"/>
      <protection/>
    </xf>
    <xf numFmtId="180" fontId="1" fillId="0" borderId="29" xfId="70" applyNumberFormat="1" applyFont="1" applyBorder="1" applyAlignment="1">
      <alignment horizontal="right" vertical="center"/>
      <protection/>
    </xf>
    <xf numFmtId="0" fontId="1" fillId="0" borderId="22" xfId="70" applyFont="1" applyBorder="1" applyAlignment="1">
      <alignment vertical="center"/>
      <protection/>
    </xf>
    <xf numFmtId="180" fontId="1" fillId="0" borderId="17" xfId="70" applyNumberFormat="1" applyFont="1" applyBorder="1" applyAlignment="1">
      <alignment horizontal="right" vertical="center"/>
      <protection/>
    </xf>
    <xf numFmtId="180" fontId="1" fillId="0" borderId="37" xfId="70" applyNumberFormat="1" applyFont="1" applyBorder="1" applyAlignment="1">
      <alignment horizontal="right" vertical="center"/>
      <protection/>
    </xf>
    <xf numFmtId="180" fontId="1" fillId="0" borderId="18" xfId="70" applyNumberFormat="1" applyFont="1" applyBorder="1" applyAlignment="1">
      <alignment horizontal="right" vertical="center"/>
      <protection/>
    </xf>
    <xf numFmtId="180" fontId="1" fillId="0" borderId="26" xfId="70" applyNumberFormat="1" applyFont="1" applyBorder="1" applyAlignment="1">
      <alignment horizontal="right" vertical="center"/>
      <protection/>
    </xf>
    <xf numFmtId="180" fontId="1" fillId="0" borderId="22" xfId="70" applyNumberFormat="1" applyFont="1" applyBorder="1" applyAlignment="1">
      <alignment horizontal="right" vertical="center"/>
      <protection/>
    </xf>
    <xf numFmtId="0" fontId="1" fillId="0" borderId="10" xfId="70" applyFont="1" applyBorder="1" applyAlignment="1">
      <alignment vertical="center"/>
      <protection/>
    </xf>
    <xf numFmtId="0" fontId="12" fillId="0" borderId="0" xfId="70" applyFont="1" applyAlignment="1">
      <alignment horizontal="center" vertical="center" textRotation="180"/>
      <protection/>
    </xf>
    <xf numFmtId="0" fontId="1" fillId="0" borderId="13" xfId="70" applyFont="1" applyBorder="1" applyAlignment="1">
      <alignment vertical="center"/>
      <protection/>
    </xf>
    <xf numFmtId="0" fontId="1" fillId="0" borderId="11" xfId="70" applyFont="1" applyBorder="1" applyAlignment="1">
      <alignment vertical="center"/>
      <protection/>
    </xf>
    <xf numFmtId="0" fontId="1" fillId="0" borderId="23" xfId="70" applyFont="1" applyBorder="1" applyAlignment="1">
      <alignment vertical="center"/>
      <protection/>
    </xf>
    <xf numFmtId="0" fontId="1" fillId="0" borderId="12" xfId="70" applyFont="1" applyBorder="1" applyAlignment="1">
      <alignment vertical="center"/>
      <protection/>
    </xf>
    <xf numFmtId="180" fontId="1" fillId="0" borderId="11" xfId="70" applyNumberFormat="1" applyFont="1" applyBorder="1" applyAlignment="1">
      <alignment horizontal="right" vertical="center"/>
      <protection/>
    </xf>
    <xf numFmtId="180" fontId="1" fillId="0" borderId="33" xfId="70" applyNumberFormat="1" applyFont="1" applyBorder="1" applyAlignment="1">
      <alignment horizontal="right" vertical="center"/>
      <protection/>
    </xf>
    <xf numFmtId="180" fontId="1" fillId="0" borderId="23" xfId="70" applyNumberFormat="1" applyFont="1" applyBorder="1" applyAlignment="1">
      <alignment horizontal="right" vertical="center"/>
      <protection/>
    </xf>
    <xf numFmtId="180" fontId="1" fillId="0" borderId="12" xfId="70" applyNumberFormat="1" applyFont="1" applyBorder="1" applyAlignment="1">
      <alignment horizontal="right" vertical="center"/>
      <protection/>
    </xf>
    <xf numFmtId="3" fontId="1" fillId="0" borderId="0" xfId="70" applyNumberFormat="1" applyFont="1" applyBorder="1" applyAlignment="1">
      <alignment horizontal="left" vertical="center"/>
      <protection/>
    </xf>
    <xf numFmtId="0" fontId="1" fillId="0" borderId="0" xfId="70" applyFont="1">
      <alignment/>
      <protection/>
    </xf>
    <xf numFmtId="0" fontId="1" fillId="0" borderId="0" xfId="70" applyFont="1" applyBorder="1" applyAlignment="1">
      <alignment horizontal="left"/>
      <protection/>
    </xf>
    <xf numFmtId="0" fontId="1" fillId="0" borderId="0" xfId="70" applyFont="1" applyAlignment="1">
      <alignment horizontal="left"/>
      <protection/>
    </xf>
    <xf numFmtId="0" fontId="1" fillId="0" borderId="11" xfId="70" applyFont="1" applyBorder="1" applyAlignment="1">
      <alignment horizontal="center" vertical="center"/>
      <protection/>
    </xf>
    <xf numFmtId="0" fontId="1" fillId="0" borderId="23" xfId="70" applyFont="1" applyBorder="1" applyAlignment="1">
      <alignment horizontal="center" vertical="center"/>
      <protection/>
    </xf>
    <xf numFmtId="0" fontId="1" fillId="0" borderId="12" xfId="70" applyFont="1" applyBorder="1" applyAlignment="1">
      <alignment horizontal="center" vertical="center"/>
      <protection/>
    </xf>
    <xf numFmtId="0" fontId="1" fillId="0" borderId="33" xfId="70" applyFont="1" applyBorder="1" applyAlignment="1">
      <alignment horizontal="center" vertical="center"/>
      <protection/>
    </xf>
    <xf numFmtId="0" fontId="1" fillId="0" borderId="27" xfId="70" applyFont="1" applyBorder="1" applyAlignment="1">
      <alignment horizontal="center" vertical="center"/>
      <protection/>
    </xf>
    <xf numFmtId="180" fontId="1" fillId="0" borderId="35" xfId="70" applyNumberFormat="1" applyFont="1" applyBorder="1" applyAlignment="1">
      <alignment vertical="center"/>
      <protection/>
    </xf>
    <xf numFmtId="180" fontId="1" fillId="0" borderId="15" xfId="70" applyNumberFormat="1" applyFont="1" applyBorder="1" applyAlignment="1">
      <alignment vertical="center"/>
      <protection/>
    </xf>
    <xf numFmtId="180" fontId="1" fillId="0" borderId="10" xfId="70" applyNumberFormat="1" applyFont="1" applyBorder="1" applyAlignment="1">
      <alignment vertical="center"/>
      <protection/>
    </xf>
    <xf numFmtId="180" fontId="1" fillId="0" borderId="21" xfId="70" applyNumberFormat="1" applyFont="1" applyBorder="1" applyAlignment="1">
      <alignment vertical="center"/>
      <protection/>
    </xf>
    <xf numFmtId="180" fontId="1" fillId="0" borderId="36" xfId="70" applyNumberFormat="1" applyFont="1" applyBorder="1" applyAlignment="1">
      <alignment vertical="center"/>
      <protection/>
    </xf>
    <xf numFmtId="180" fontId="1" fillId="0" borderId="0" xfId="70" applyNumberFormat="1" applyFont="1" applyBorder="1" applyAlignment="1">
      <alignment vertical="center"/>
      <protection/>
    </xf>
    <xf numFmtId="180" fontId="1" fillId="0" borderId="13" xfId="70" applyNumberFormat="1" applyFont="1" applyBorder="1" applyAlignment="1">
      <alignment vertical="center"/>
      <protection/>
    </xf>
    <xf numFmtId="180" fontId="1" fillId="0" borderId="24" xfId="70" applyNumberFormat="1" applyFont="1" applyBorder="1" applyAlignment="1">
      <alignment vertical="center"/>
      <protection/>
    </xf>
    <xf numFmtId="180" fontId="1" fillId="0" borderId="18" xfId="70" applyNumberFormat="1" applyFont="1" applyBorder="1" applyAlignment="1">
      <alignment vertical="center"/>
      <protection/>
    </xf>
    <xf numFmtId="180" fontId="1" fillId="0" borderId="37" xfId="70" applyNumberFormat="1" applyFont="1" applyBorder="1" applyAlignment="1">
      <alignment vertical="center"/>
      <protection/>
    </xf>
    <xf numFmtId="180" fontId="1" fillId="0" borderId="33" xfId="70" applyNumberFormat="1" applyFont="1" applyBorder="1" applyAlignment="1">
      <alignment vertical="center"/>
      <protection/>
    </xf>
    <xf numFmtId="180" fontId="1" fillId="0" borderId="23" xfId="70" applyNumberFormat="1" applyFont="1" applyBorder="1" applyAlignment="1">
      <alignment vertical="center"/>
      <protection/>
    </xf>
    <xf numFmtId="180" fontId="1" fillId="0" borderId="11" xfId="70" applyNumberFormat="1" applyFont="1" applyBorder="1" applyAlignment="1">
      <alignment vertical="center"/>
      <protection/>
    </xf>
    <xf numFmtId="180" fontId="1" fillId="0" borderId="12" xfId="70" applyNumberFormat="1" applyFont="1" applyBorder="1" applyAlignment="1">
      <alignment vertical="center"/>
      <protection/>
    </xf>
    <xf numFmtId="0" fontId="15" fillId="0" borderId="0" xfId="70" applyFont="1" applyBorder="1">
      <alignment/>
      <protection/>
    </xf>
    <xf numFmtId="0" fontId="16" fillId="0" borderId="0" xfId="70" applyBorder="1">
      <alignment/>
      <protection/>
    </xf>
    <xf numFmtId="0" fontId="10" fillId="0" borderId="0" xfId="70" applyFont="1" applyBorder="1" applyAlignment="1">
      <alignment horizontal="right"/>
      <protection/>
    </xf>
    <xf numFmtId="0" fontId="10" fillId="0" borderId="0" xfId="70" applyFont="1" applyBorder="1">
      <alignment/>
      <protection/>
    </xf>
    <xf numFmtId="0" fontId="13" fillId="0" borderId="0" xfId="65" applyFont="1">
      <alignment/>
      <protection/>
    </xf>
    <xf numFmtId="0" fontId="13" fillId="0" borderId="0" xfId="65" applyFont="1" applyBorder="1">
      <alignment/>
      <protection/>
    </xf>
    <xf numFmtId="0" fontId="25" fillId="0" borderId="0" xfId="65" applyFont="1">
      <alignment/>
      <protection/>
    </xf>
    <xf numFmtId="0" fontId="0" fillId="0" borderId="0" xfId="65">
      <alignment/>
      <protection/>
    </xf>
    <xf numFmtId="0" fontId="4" fillId="0" borderId="0" xfId="65" applyFont="1">
      <alignment/>
      <protection/>
    </xf>
    <xf numFmtId="166" fontId="13" fillId="0" borderId="0" xfId="65" applyNumberFormat="1" applyFont="1">
      <alignment/>
      <protection/>
    </xf>
    <xf numFmtId="0" fontId="12" fillId="0" borderId="44" xfId="66" applyFont="1" applyBorder="1" applyAlignment="1">
      <alignment/>
      <protection/>
    </xf>
    <xf numFmtId="0" fontId="12" fillId="0" borderId="71" xfId="65" applyFont="1" applyBorder="1" applyAlignment="1">
      <alignment horizontal="centerContinuous" vertical="center" wrapText="1"/>
      <protection/>
    </xf>
    <xf numFmtId="0" fontId="12" fillId="0" borderId="33" xfId="65" applyFont="1" applyBorder="1" applyAlignment="1">
      <alignment horizontal="centerContinuous" vertical="center" wrapText="1"/>
      <protection/>
    </xf>
    <xf numFmtId="0" fontId="12" fillId="0" borderId="72" xfId="65" applyFont="1" applyBorder="1" applyAlignment="1">
      <alignment horizontal="centerContinuous" vertical="center" wrapText="1"/>
      <protection/>
    </xf>
    <xf numFmtId="0" fontId="1" fillId="0" borderId="71" xfId="65" applyFont="1" applyBorder="1" applyAlignment="1">
      <alignment horizontal="centerContinuous" vertical="center" wrapText="1"/>
      <protection/>
    </xf>
    <xf numFmtId="0" fontId="1" fillId="0" borderId="33" xfId="65" applyFont="1" applyBorder="1" applyAlignment="1">
      <alignment horizontal="centerContinuous" vertical="center" wrapText="1"/>
      <protection/>
    </xf>
    <xf numFmtId="0" fontId="1" fillId="0" borderId="72" xfId="65" applyFont="1" applyBorder="1" applyAlignment="1">
      <alignment horizontal="centerContinuous" vertical="center" wrapText="1"/>
      <protection/>
    </xf>
    <xf numFmtId="0" fontId="4" fillId="0" borderId="44" xfId="65" applyFont="1" applyBorder="1" applyAlignment="1">
      <alignment vertical="center"/>
      <protection/>
    </xf>
    <xf numFmtId="0" fontId="21" fillId="0" borderId="0" xfId="65" applyFont="1" applyBorder="1" applyAlignment="1">
      <alignment vertical="center"/>
      <protection/>
    </xf>
    <xf numFmtId="0" fontId="1" fillId="0" borderId="0" xfId="65" applyFont="1" applyBorder="1" applyAlignment="1">
      <alignment vertical="center"/>
      <protection/>
    </xf>
    <xf numFmtId="38" fontId="1" fillId="0" borderId="73" xfId="47" applyNumberFormat="1" applyFont="1" applyBorder="1" applyAlignment="1">
      <alignment vertical="center"/>
    </xf>
    <xf numFmtId="38" fontId="1" fillId="0" borderId="28" xfId="47" applyNumberFormat="1" applyFont="1" applyBorder="1" applyAlignment="1">
      <alignment vertical="center"/>
    </xf>
    <xf numFmtId="188" fontId="1" fillId="0" borderId="74" xfId="65" applyNumberFormat="1" applyFont="1" applyBorder="1" applyAlignment="1">
      <alignment vertical="center"/>
      <protection/>
    </xf>
    <xf numFmtId="188" fontId="1" fillId="0" borderId="0" xfId="65" applyNumberFormat="1" applyFont="1" applyBorder="1" applyAlignment="1">
      <alignment vertical="center"/>
      <protection/>
    </xf>
    <xf numFmtId="0" fontId="4" fillId="0" borderId="44" xfId="65" applyFont="1" applyBorder="1" applyAlignment="1">
      <alignment vertical="center"/>
      <protection/>
    </xf>
    <xf numFmtId="0" fontId="12" fillId="0" borderId="0" xfId="65" applyFont="1" applyBorder="1" applyAlignment="1">
      <alignment vertical="center"/>
      <protection/>
    </xf>
    <xf numFmtId="38" fontId="1" fillId="0" borderId="36" xfId="47" applyNumberFormat="1" applyFont="1" applyBorder="1" applyAlignment="1">
      <alignment vertical="center"/>
    </xf>
    <xf numFmtId="0" fontId="12" fillId="0" borderId="47" xfId="65" applyFont="1" applyBorder="1" applyAlignment="1">
      <alignment vertical="center"/>
      <protection/>
    </xf>
    <xf numFmtId="0" fontId="12" fillId="0" borderId="18" xfId="65" applyFont="1" applyBorder="1" applyAlignment="1">
      <alignment vertical="center"/>
      <protection/>
    </xf>
    <xf numFmtId="0" fontId="1" fillId="0" borderId="18" xfId="65" applyFont="1" applyBorder="1" applyAlignment="1">
      <alignment vertical="center"/>
      <protection/>
    </xf>
    <xf numFmtId="38" fontId="1" fillId="0" borderId="75" xfId="47" applyNumberFormat="1" applyFont="1" applyBorder="1" applyAlignment="1">
      <alignment vertical="center"/>
    </xf>
    <xf numFmtId="38" fontId="1" fillId="0" borderId="37" xfId="47" applyNumberFormat="1" applyFont="1" applyBorder="1" applyAlignment="1">
      <alignment vertical="center"/>
    </xf>
    <xf numFmtId="188" fontId="1" fillId="0" borderId="49" xfId="65" applyNumberFormat="1" applyFont="1" applyBorder="1" applyAlignment="1">
      <alignment vertical="center"/>
      <protection/>
    </xf>
    <xf numFmtId="38" fontId="1" fillId="0" borderId="47" xfId="47" applyNumberFormat="1" applyFont="1" applyBorder="1" applyAlignment="1">
      <alignment vertical="center"/>
    </xf>
    <xf numFmtId="0" fontId="4" fillId="0" borderId="44" xfId="65" applyFont="1" applyBorder="1" applyAlignment="1">
      <alignment horizontal="left" vertical="center" wrapText="1"/>
      <protection/>
    </xf>
    <xf numFmtId="0" fontId="1" fillId="0" borderId="0" xfId="65" applyFont="1" applyBorder="1" applyAlignment="1">
      <alignment horizontal="left" vertical="center" wrapText="1"/>
      <protection/>
    </xf>
    <xf numFmtId="38" fontId="1" fillId="0" borderId="44" xfId="47" applyNumberFormat="1" applyFont="1" applyBorder="1" applyAlignment="1">
      <alignment vertical="center"/>
    </xf>
    <xf numFmtId="38" fontId="1" fillId="0" borderId="46" xfId="47" applyNumberFormat="1" applyFont="1" applyBorder="1" applyAlignment="1">
      <alignment vertical="center"/>
    </xf>
    <xf numFmtId="38" fontId="1" fillId="0" borderId="38" xfId="47" applyNumberFormat="1" applyFont="1" applyBorder="1" applyAlignment="1">
      <alignment vertical="center"/>
    </xf>
    <xf numFmtId="188" fontId="1" fillId="0" borderId="76" xfId="65" applyNumberFormat="1" applyFont="1" applyBorder="1" applyAlignment="1">
      <alignment vertical="center"/>
      <protection/>
    </xf>
    <xf numFmtId="188" fontId="1" fillId="0" borderId="45" xfId="65" applyNumberFormat="1" applyFont="1" applyBorder="1" applyAlignment="1">
      <alignment vertical="center"/>
      <protection/>
    </xf>
    <xf numFmtId="0" fontId="1" fillId="0" borderId="47" xfId="65" applyFont="1" applyBorder="1" applyAlignment="1">
      <alignment vertical="center"/>
      <protection/>
    </xf>
    <xf numFmtId="0" fontId="1" fillId="0" borderId="18" xfId="65" applyFont="1" applyBorder="1" applyAlignment="1">
      <alignment horizontal="left" vertical="center"/>
      <protection/>
    </xf>
    <xf numFmtId="38" fontId="1" fillId="0" borderId="25" xfId="47" applyNumberFormat="1" applyFont="1" applyBorder="1" applyAlignment="1">
      <alignment vertical="center"/>
    </xf>
    <xf numFmtId="188" fontId="1" fillId="0" borderId="48" xfId="65" applyNumberFormat="1" applyFont="1" applyBorder="1" applyAlignment="1">
      <alignment vertical="center"/>
      <protection/>
    </xf>
    <xf numFmtId="0" fontId="1" fillId="0" borderId="44" xfId="65" applyFont="1" applyBorder="1" applyAlignment="1">
      <alignment horizontal="right" vertical="center"/>
      <protection/>
    </xf>
    <xf numFmtId="0" fontId="1" fillId="0" borderId="0" xfId="65" applyFont="1" applyBorder="1" applyAlignment="1">
      <alignment horizontal="left" vertical="center"/>
      <protection/>
    </xf>
    <xf numFmtId="38" fontId="1" fillId="0" borderId="46" xfId="65" applyNumberFormat="1" applyFont="1" applyBorder="1" applyAlignment="1">
      <alignment vertical="center"/>
      <protection/>
    </xf>
    <xf numFmtId="38" fontId="1" fillId="0" borderId="28" xfId="65" applyNumberFormat="1" applyFont="1" applyBorder="1" applyAlignment="1">
      <alignment vertical="center"/>
      <protection/>
    </xf>
    <xf numFmtId="38" fontId="1" fillId="0" borderId="73" xfId="65" applyNumberFormat="1" applyFont="1" applyBorder="1" applyAlignment="1">
      <alignment vertical="center"/>
      <protection/>
    </xf>
    <xf numFmtId="38" fontId="1" fillId="0" borderId="75" xfId="65" applyNumberFormat="1" applyFont="1" applyBorder="1" applyAlignment="1">
      <alignment vertical="center"/>
      <protection/>
    </xf>
    <xf numFmtId="38" fontId="1" fillId="0" borderId="25" xfId="65" applyNumberFormat="1" applyFont="1" applyBorder="1" applyAlignment="1">
      <alignment vertical="center"/>
      <protection/>
    </xf>
    <xf numFmtId="0" fontId="4" fillId="0" borderId="44" xfId="65" applyFont="1" applyBorder="1" applyAlignment="1">
      <alignment horizontal="left" vertical="center"/>
      <protection/>
    </xf>
    <xf numFmtId="0" fontId="12" fillId="0" borderId="0" xfId="65" applyFont="1" applyBorder="1">
      <alignment/>
      <protection/>
    </xf>
    <xf numFmtId="38" fontId="1" fillId="0" borderId="44" xfId="65" applyNumberFormat="1" applyFont="1" applyBorder="1" applyAlignment="1">
      <alignment vertical="center"/>
      <protection/>
    </xf>
    <xf numFmtId="38" fontId="1" fillId="0" borderId="36" xfId="65" applyNumberFormat="1" applyFont="1" applyBorder="1" applyAlignment="1">
      <alignment vertical="center"/>
      <protection/>
    </xf>
    <xf numFmtId="0" fontId="4" fillId="0" borderId="44" xfId="65" applyFont="1" applyBorder="1" applyAlignment="1">
      <alignment horizontal="left" vertical="center"/>
      <protection/>
    </xf>
    <xf numFmtId="0" fontId="1" fillId="0" borderId="0" xfId="65" applyFont="1" applyBorder="1" applyAlignment="1">
      <alignment vertical="center"/>
      <protection/>
    </xf>
    <xf numFmtId="38" fontId="1" fillId="0" borderId="37" xfId="65" applyNumberFormat="1" applyFont="1" applyBorder="1" applyAlignment="1">
      <alignment vertical="center"/>
      <protection/>
    </xf>
    <xf numFmtId="38" fontId="1" fillId="0" borderId="47" xfId="65" applyNumberFormat="1" applyFont="1" applyBorder="1" applyAlignment="1">
      <alignment vertical="center"/>
      <protection/>
    </xf>
    <xf numFmtId="38" fontId="1" fillId="0" borderId="51" xfId="65" applyNumberFormat="1" applyFont="1" applyBorder="1" applyAlignment="1">
      <alignment vertical="center"/>
      <protection/>
    </xf>
    <xf numFmtId="38" fontId="1" fillId="0" borderId="35" xfId="65" applyNumberFormat="1" applyFont="1" applyBorder="1" applyAlignment="1">
      <alignment vertical="center"/>
      <protection/>
    </xf>
    <xf numFmtId="168" fontId="1" fillId="0" borderId="73" xfId="65" applyNumberFormat="1" applyFont="1" applyBorder="1" applyAlignment="1">
      <alignment vertical="center"/>
      <protection/>
    </xf>
    <xf numFmtId="168" fontId="1" fillId="0" borderId="0" xfId="65" applyNumberFormat="1" applyFont="1" applyBorder="1" applyAlignment="1">
      <alignment vertical="center"/>
      <protection/>
    </xf>
    <xf numFmtId="168" fontId="1" fillId="0" borderId="44" xfId="65" applyNumberFormat="1" applyFont="1" applyBorder="1" applyAlignment="1">
      <alignment vertical="center"/>
      <protection/>
    </xf>
    <xf numFmtId="168" fontId="1" fillId="0" borderId="36" xfId="65" applyNumberFormat="1" applyFont="1" applyBorder="1" applyAlignment="1">
      <alignment vertical="center"/>
      <protection/>
    </xf>
    <xf numFmtId="0" fontId="12" fillId="0" borderId="52" xfId="65" applyFont="1" applyBorder="1" applyAlignment="1">
      <alignment vertical="center"/>
      <protection/>
    </xf>
    <xf numFmtId="0" fontId="12" fillId="0" borderId="53" xfId="65" applyFont="1" applyBorder="1" applyAlignment="1">
      <alignment vertical="center"/>
      <protection/>
    </xf>
    <xf numFmtId="0" fontId="1" fillId="0" borderId="53" xfId="65" applyFont="1" applyBorder="1" applyAlignment="1">
      <alignment vertical="center"/>
      <protection/>
    </xf>
    <xf numFmtId="168" fontId="1" fillId="0" borderId="77" xfId="65" applyNumberFormat="1" applyFont="1" applyBorder="1" applyAlignment="1">
      <alignment vertical="center"/>
      <protection/>
    </xf>
    <xf numFmtId="168" fontId="1" fillId="0" borderId="78" xfId="65" applyNumberFormat="1" applyFont="1" applyBorder="1" applyAlignment="1">
      <alignment vertical="center"/>
      <protection/>
    </xf>
    <xf numFmtId="188" fontId="1" fillId="0" borderId="57" xfId="65" applyNumberFormat="1" applyFont="1" applyBorder="1" applyAlignment="1">
      <alignment vertical="center"/>
      <protection/>
    </xf>
    <xf numFmtId="168" fontId="1" fillId="0" borderId="52" xfId="65" applyNumberFormat="1" applyFont="1" applyBorder="1" applyAlignment="1">
      <alignment vertical="center"/>
      <protection/>
    </xf>
    <xf numFmtId="168" fontId="1" fillId="0" borderId="56" xfId="65" applyNumberFormat="1" applyFont="1" applyBorder="1" applyAlignment="1">
      <alignment vertical="center"/>
      <protection/>
    </xf>
    <xf numFmtId="38" fontId="1" fillId="0" borderId="77" xfId="47" applyNumberFormat="1" applyFont="1" applyBorder="1" applyAlignment="1">
      <alignment vertical="center"/>
    </xf>
    <xf numFmtId="38" fontId="1" fillId="0" borderId="78" xfId="47" applyNumberFormat="1" applyFont="1" applyBorder="1" applyAlignment="1">
      <alignment vertical="center"/>
    </xf>
    <xf numFmtId="188" fontId="1" fillId="0" borderId="54" xfId="65" applyNumberFormat="1" applyFont="1" applyBorder="1" applyAlignment="1">
      <alignment vertical="center"/>
      <protection/>
    </xf>
    <xf numFmtId="0" fontId="12" fillId="0" borderId="0" xfId="65" applyFont="1">
      <alignment/>
      <protection/>
    </xf>
    <xf numFmtId="0" fontId="15" fillId="0" borderId="0" xfId="65" applyFont="1">
      <alignment/>
      <protection/>
    </xf>
    <xf numFmtId="0" fontId="12" fillId="0" borderId="0" xfId="65" applyFont="1" applyAlignment="1">
      <alignment/>
      <protection/>
    </xf>
    <xf numFmtId="0" fontId="15" fillId="0" borderId="0" xfId="65" applyFont="1" applyAlignment="1">
      <alignment/>
      <protection/>
    </xf>
    <xf numFmtId="1" fontId="3" fillId="0" borderId="0" xfId="71" applyNumberFormat="1" applyFont="1" applyBorder="1" applyAlignment="1">
      <alignment wrapText="1"/>
      <protection/>
    </xf>
    <xf numFmtId="167" fontId="3" fillId="0" borderId="0" xfId="71" applyNumberFormat="1" applyFont="1" applyBorder="1" applyAlignment="1">
      <alignment horizontal="right"/>
      <protection/>
    </xf>
    <xf numFmtId="167" fontId="3" fillId="0" borderId="79" xfId="71" applyNumberFormat="1" applyFont="1" applyBorder="1" applyAlignment="1">
      <alignment horizontal="right"/>
      <protection/>
    </xf>
    <xf numFmtId="167" fontId="3" fillId="0" borderId="80" xfId="71" applyNumberFormat="1" applyFont="1" applyBorder="1" applyAlignment="1">
      <alignment horizontal="center"/>
      <protection/>
    </xf>
    <xf numFmtId="167" fontId="3" fillId="0" borderId="80" xfId="71" applyNumberFormat="1" applyFont="1" applyBorder="1" applyAlignment="1">
      <alignment horizontal="right"/>
      <protection/>
    </xf>
    <xf numFmtId="188" fontId="3" fillId="0" borderId="80" xfId="71" applyNumberFormat="1" applyFont="1" applyBorder="1" applyAlignment="1">
      <alignment horizontal="right"/>
      <protection/>
    </xf>
    <xf numFmtId="0" fontId="16" fillId="0" borderId="0" xfId="71">
      <alignment/>
      <protection/>
    </xf>
    <xf numFmtId="0" fontId="13" fillId="0" borderId="0" xfId="65" applyFont="1">
      <alignment/>
      <protection/>
    </xf>
    <xf numFmtId="0" fontId="1" fillId="0" borderId="41" xfId="65" applyFont="1" applyBorder="1" applyAlignment="1">
      <alignment horizontal="centerContinuous" vertical="center"/>
      <protection/>
    </xf>
    <xf numFmtId="0" fontId="1" fillId="0" borderId="41" xfId="65" applyFont="1" applyBorder="1" applyAlignment="1">
      <alignment horizontal="centerContinuous"/>
      <protection/>
    </xf>
    <xf numFmtId="0" fontId="1" fillId="0" borderId="42" xfId="65" applyFont="1" applyBorder="1" applyAlignment="1">
      <alignment horizontal="centerContinuous"/>
      <protection/>
    </xf>
    <xf numFmtId="0" fontId="12" fillId="0" borderId="0" xfId="66" applyFont="1" applyBorder="1" applyAlignment="1">
      <alignment/>
      <protection/>
    </xf>
    <xf numFmtId="0" fontId="1" fillId="0" borderId="27" xfId="65" applyFont="1" applyBorder="1" applyAlignment="1">
      <alignment horizontal="centerContinuous" vertical="center" wrapText="1"/>
      <protection/>
    </xf>
    <xf numFmtId="0" fontId="1" fillId="0" borderId="43" xfId="65" applyFont="1" applyBorder="1" applyAlignment="1">
      <alignment horizontal="center" vertical="center" wrapText="1"/>
      <protection/>
    </xf>
    <xf numFmtId="0" fontId="1" fillId="0" borderId="23" xfId="65" applyFont="1" applyBorder="1" applyAlignment="1">
      <alignment horizontal="center" vertical="center" wrapText="1"/>
      <protection/>
    </xf>
    <xf numFmtId="0" fontId="1" fillId="0" borderId="45" xfId="65" applyFont="1" applyBorder="1" applyAlignment="1">
      <alignment vertical="center"/>
      <protection/>
    </xf>
    <xf numFmtId="169" fontId="1" fillId="0" borderId="29" xfId="65" applyNumberFormat="1" applyFont="1" applyBorder="1" applyAlignment="1">
      <alignment vertical="center"/>
      <protection/>
    </xf>
    <xf numFmtId="169" fontId="1" fillId="0" borderId="36" xfId="65" applyNumberFormat="1" applyFont="1" applyBorder="1" applyAlignment="1">
      <alignment vertical="center"/>
      <protection/>
    </xf>
    <xf numFmtId="188" fontId="1" fillId="0" borderId="45" xfId="65" applyNumberFormat="1" applyFont="1" applyBorder="1" applyAlignment="1">
      <alignment vertical="center"/>
      <protection/>
    </xf>
    <xf numFmtId="169" fontId="1" fillId="0" borderId="73" xfId="65" applyNumberFormat="1" applyFont="1" applyBorder="1" applyAlignment="1">
      <alignment vertical="center"/>
      <protection/>
    </xf>
    <xf numFmtId="169" fontId="1" fillId="0" borderId="28" xfId="65" applyNumberFormat="1" applyFont="1" applyBorder="1" applyAlignment="1">
      <alignment vertical="center"/>
      <protection/>
    </xf>
    <xf numFmtId="188" fontId="1" fillId="0" borderId="0" xfId="65" applyNumberFormat="1" applyFont="1" applyBorder="1" applyAlignment="1">
      <alignment vertical="center"/>
      <protection/>
    </xf>
    <xf numFmtId="38" fontId="1" fillId="0" borderId="39" xfId="47" applyNumberFormat="1" applyFont="1" applyBorder="1" applyAlignment="1">
      <alignment vertical="center"/>
    </xf>
    <xf numFmtId="38" fontId="1" fillId="0" borderId="35" xfId="47" applyNumberFormat="1" applyFont="1" applyBorder="1" applyAlignment="1">
      <alignment vertical="center"/>
    </xf>
    <xf numFmtId="188" fontId="1" fillId="0" borderId="76" xfId="65" applyNumberFormat="1" applyFont="1" applyBorder="1" applyAlignment="1">
      <alignment vertical="center"/>
      <protection/>
    </xf>
    <xf numFmtId="38" fontId="1" fillId="0" borderId="29" xfId="47" applyNumberFormat="1" applyFont="1" applyBorder="1" applyAlignment="1">
      <alignment vertical="center"/>
    </xf>
    <xf numFmtId="38" fontId="1" fillId="0" borderId="36" xfId="47" applyNumberFormat="1" applyFont="1" applyBorder="1" applyAlignment="1">
      <alignment vertical="center"/>
    </xf>
    <xf numFmtId="0" fontId="1" fillId="0" borderId="48" xfId="65" applyFont="1" applyBorder="1" applyAlignment="1">
      <alignment vertical="center"/>
      <protection/>
    </xf>
    <xf numFmtId="169" fontId="1" fillId="0" borderId="26" xfId="65" applyNumberFormat="1" applyFont="1" applyBorder="1" applyAlignment="1">
      <alignment vertical="center"/>
      <protection/>
    </xf>
    <xf numFmtId="169" fontId="1" fillId="0" borderId="37" xfId="65" applyNumberFormat="1" applyFont="1" applyBorder="1" applyAlignment="1">
      <alignment vertical="center"/>
      <protection/>
    </xf>
    <xf numFmtId="188" fontId="1" fillId="0" borderId="49" xfId="65" applyNumberFormat="1" applyFont="1" applyBorder="1" applyAlignment="1">
      <alignment vertical="center"/>
      <protection/>
    </xf>
    <xf numFmtId="169" fontId="1" fillId="0" borderId="75" xfId="65" applyNumberFormat="1" applyFont="1" applyBorder="1" applyAlignment="1">
      <alignment vertical="center"/>
      <protection/>
    </xf>
    <xf numFmtId="169" fontId="1" fillId="0" borderId="25" xfId="65" applyNumberFormat="1" applyFont="1" applyBorder="1" applyAlignment="1">
      <alignment vertical="center"/>
      <protection/>
    </xf>
    <xf numFmtId="188" fontId="1" fillId="0" borderId="81" xfId="65" applyNumberFormat="1" applyFont="1" applyBorder="1" applyAlignment="1">
      <alignment vertical="center"/>
      <protection/>
    </xf>
    <xf numFmtId="38" fontId="1" fillId="0" borderId="26" xfId="47" applyNumberFormat="1" applyFont="1" applyBorder="1" applyAlignment="1">
      <alignment vertical="center"/>
    </xf>
    <xf numFmtId="38" fontId="1" fillId="0" borderId="37" xfId="47" applyNumberFormat="1" applyFont="1" applyBorder="1" applyAlignment="1">
      <alignment vertical="center"/>
    </xf>
    <xf numFmtId="188" fontId="1" fillId="0" borderId="18" xfId="65" applyNumberFormat="1" applyFont="1" applyBorder="1" applyAlignment="1">
      <alignment vertical="center"/>
      <protection/>
    </xf>
    <xf numFmtId="188" fontId="1" fillId="0" borderId="48" xfId="65" applyNumberFormat="1" applyFont="1" applyBorder="1" applyAlignment="1">
      <alignment vertical="center"/>
      <protection/>
    </xf>
    <xf numFmtId="0" fontId="12" fillId="0" borderId="44" xfId="65" applyFont="1" applyBorder="1" applyAlignment="1">
      <alignment horizontal="right" vertical="center" wrapText="1"/>
      <protection/>
    </xf>
    <xf numFmtId="0" fontId="12" fillId="0" borderId="44" xfId="65" applyFont="1" applyBorder="1" applyAlignment="1">
      <alignment horizontal="right" vertical="center"/>
      <protection/>
    </xf>
    <xf numFmtId="0" fontId="12" fillId="0" borderId="0" xfId="65" applyFont="1" applyBorder="1" applyAlignment="1">
      <alignment horizontal="left" vertical="top"/>
      <protection/>
    </xf>
    <xf numFmtId="0" fontId="1" fillId="0" borderId="45" xfId="65" applyFont="1" applyBorder="1" applyAlignment="1">
      <alignment horizontal="left" vertical="center"/>
      <protection/>
    </xf>
    <xf numFmtId="0" fontId="3" fillId="0" borderId="44" xfId="65" applyFont="1" applyBorder="1" applyAlignment="1">
      <alignment vertical="center"/>
      <protection/>
    </xf>
    <xf numFmtId="182" fontId="1" fillId="0" borderId="39" xfId="65" applyNumberFormat="1" applyFont="1" applyBorder="1" applyAlignment="1">
      <alignment vertical="center"/>
      <protection/>
    </xf>
    <xf numFmtId="182" fontId="1" fillId="0" borderId="35" xfId="65" applyNumberFormat="1" applyFont="1" applyBorder="1" applyAlignment="1">
      <alignment vertical="center"/>
      <protection/>
    </xf>
    <xf numFmtId="188" fontId="1" fillId="0" borderId="74" xfId="65" applyNumberFormat="1" applyFont="1" applyBorder="1" applyAlignment="1">
      <alignment vertical="center"/>
      <protection/>
    </xf>
    <xf numFmtId="188" fontId="1" fillId="0" borderId="82" xfId="65" applyNumberFormat="1" applyFont="1" applyBorder="1" applyAlignment="1">
      <alignment vertical="center"/>
      <protection/>
    </xf>
    <xf numFmtId="182" fontId="1" fillId="0" borderId="29" xfId="65" applyNumberFormat="1" applyFont="1" applyBorder="1" applyAlignment="1">
      <alignment vertical="center"/>
      <protection/>
    </xf>
    <xf numFmtId="182" fontId="1" fillId="0" borderId="36" xfId="65" applyNumberFormat="1" applyFont="1" applyBorder="1" applyAlignment="1">
      <alignment vertical="center"/>
      <protection/>
    </xf>
    <xf numFmtId="0" fontId="1" fillId="0" borderId="54" xfId="65" applyFont="1" applyBorder="1" applyAlignment="1">
      <alignment vertical="center"/>
      <protection/>
    </xf>
    <xf numFmtId="169" fontId="1" fillId="0" borderId="55" xfId="65" applyNumberFormat="1" applyFont="1" applyBorder="1" applyAlignment="1">
      <alignment vertical="center"/>
      <protection/>
    </xf>
    <xf numFmtId="169" fontId="1" fillId="0" borderId="56" xfId="65" applyNumberFormat="1" applyFont="1" applyBorder="1" applyAlignment="1">
      <alignment vertical="center"/>
      <protection/>
    </xf>
    <xf numFmtId="188" fontId="1" fillId="0" borderId="57" xfId="65" applyNumberFormat="1" applyFont="1" applyBorder="1" applyAlignment="1">
      <alignment vertical="center"/>
      <protection/>
    </xf>
    <xf numFmtId="188" fontId="1" fillId="0" borderId="83" xfId="65" applyNumberFormat="1" applyFont="1" applyBorder="1" applyAlignment="1">
      <alignment vertical="center"/>
      <protection/>
    </xf>
    <xf numFmtId="182" fontId="1" fillId="0" borderId="55" xfId="65" applyNumberFormat="1" applyFont="1" applyBorder="1" applyAlignment="1">
      <alignment vertical="center"/>
      <protection/>
    </xf>
    <xf numFmtId="182" fontId="1" fillId="0" borderId="56" xfId="65" applyNumberFormat="1" applyFont="1" applyBorder="1" applyAlignment="1">
      <alignment vertical="center"/>
      <protection/>
    </xf>
    <xf numFmtId="188" fontId="1" fillId="0" borderId="53" xfId="65" applyNumberFormat="1" applyFont="1" applyBorder="1" applyAlignment="1">
      <alignment vertical="center"/>
      <protection/>
    </xf>
    <xf numFmtId="188" fontId="1" fillId="0" borderId="54" xfId="65" applyNumberFormat="1" applyFont="1" applyBorder="1" applyAlignment="1">
      <alignment vertical="center"/>
      <protection/>
    </xf>
    <xf numFmtId="0" fontId="12" fillId="0" borderId="0" xfId="66" applyFont="1" applyBorder="1">
      <alignment/>
      <protection/>
    </xf>
    <xf numFmtId="0" fontId="1" fillId="0" borderId="0" xfId="74" applyFont="1">
      <alignment/>
      <protection/>
    </xf>
    <xf numFmtId="0" fontId="12" fillId="0" borderId="0" xfId="74" applyFont="1">
      <alignment/>
      <protection/>
    </xf>
    <xf numFmtId="0" fontId="12" fillId="0" borderId="26" xfId="74" applyFont="1" applyBorder="1" applyAlignment="1">
      <alignment horizontal="center"/>
      <protection/>
    </xf>
    <xf numFmtId="0" fontId="12" fillId="0" borderId="37" xfId="74" applyFont="1" applyBorder="1" applyAlignment="1">
      <alignment horizontal="center"/>
      <protection/>
    </xf>
    <xf numFmtId="0" fontId="12" fillId="0" borderId="31" xfId="74" applyFont="1" applyBorder="1" applyAlignment="1">
      <alignment horizontal="center"/>
      <protection/>
    </xf>
    <xf numFmtId="0" fontId="12" fillId="0" borderId="13" xfId="74" applyFont="1" applyBorder="1" applyAlignment="1">
      <alignment horizontal="left"/>
      <protection/>
    </xf>
    <xf numFmtId="167" fontId="12" fillId="0" borderId="16" xfId="74" applyNumberFormat="1" applyFont="1" applyBorder="1" applyAlignment="1">
      <alignment/>
      <protection/>
    </xf>
    <xf numFmtId="167" fontId="12" fillId="0" borderId="0" xfId="74" applyNumberFormat="1" applyFont="1" applyBorder="1" applyAlignment="1">
      <alignment/>
      <protection/>
    </xf>
    <xf numFmtId="167" fontId="12" fillId="0" borderId="14" xfId="74" applyNumberFormat="1" applyFont="1" applyBorder="1" applyAlignment="1">
      <alignment/>
      <protection/>
    </xf>
    <xf numFmtId="0" fontId="12" fillId="0" borderId="13" xfId="74" applyFont="1" applyBorder="1" applyAlignment="1">
      <alignment/>
      <protection/>
    </xf>
    <xf numFmtId="0" fontId="12" fillId="0" borderId="11" xfId="74" applyFont="1" applyBorder="1" applyAlignment="1">
      <alignment horizontal="left" indent="1"/>
      <protection/>
    </xf>
    <xf numFmtId="167" fontId="12" fillId="0" borderId="33" xfId="74" applyNumberFormat="1" applyFont="1" applyBorder="1" applyAlignment="1">
      <alignment/>
      <protection/>
    </xf>
    <xf numFmtId="167" fontId="12" fillId="0" borderId="20" xfId="74" applyNumberFormat="1" applyFont="1" applyBorder="1" applyAlignment="1">
      <alignment/>
      <protection/>
    </xf>
    <xf numFmtId="0" fontId="12" fillId="0" borderId="0" xfId="74" applyFont="1" applyBorder="1" applyAlignment="1">
      <alignment horizontal="left" indent="1"/>
      <protection/>
    </xf>
    <xf numFmtId="0" fontId="15" fillId="0" borderId="0" xfId="74" applyFont="1" applyBorder="1" applyAlignment="1">
      <alignment/>
      <protection/>
    </xf>
    <xf numFmtId="0" fontId="12" fillId="0" borderId="0" xfId="74" applyFont="1" applyAlignment="1">
      <alignment horizontal="left"/>
      <protection/>
    </xf>
    <xf numFmtId="0" fontId="1" fillId="0" borderId="0" xfId="74" applyFont="1" applyAlignment="1">
      <alignment horizontal="right"/>
      <protection/>
    </xf>
    <xf numFmtId="0" fontId="1" fillId="0" borderId="0" xfId="74" applyFont="1" applyAlignment="1">
      <alignment/>
      <protection/>
    </xf>
    <xf numFmtId="167" fontId="1" fillId="0" borderId="0" xfId="74" applyNumberFormat="1" applyFont="1">
      <alignment/>
      <protection/>
    </xf>
    <xf numFmtId="172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 quotePrefix="1">
      <alignment horizontal="center"/>
    </xf>
    <xf numFmtId="0" fontId="1" fillId="0" borderId="14" xfId="0" applyFont="1" applyBorder="1" applyAlignment="1">
      <alignment vertical="center" wrapText="1"/>
    </xf>
    <xf numFmtId="175" fontId="1" fillId="0" borderId="0" xfId="0" applyNumberFormat="1" applyFont="1" applyBorder="1" applyAlignment="1">
      <alignment vertical="center"/>
    </xf>
    <xf numFmtId="1" fontId="1" fillId="0" borderId="31" xfId="0" applyNumberFormat="1" applyFont="1" applyBorder="1" applyAlignment="1">
      <alignment horizontal="center"/>
    </xf>
    <xf numFmtId="183" fontId="1" fillId="0" borderId="26" xfId="72" applyNumberFormat="1" applyFont="1" applyBorder="1" applyAlignment="1">
      <alignment horizontal="center" vertical="center"/>
      <protection/>
    </xf>
    <xf numFmtId="169" fontId="1" fillId="0" borderId="51" xfId="66" applyNumberFormat="1" applyFont="1" applyBorder="1" applyAlignment="1">
      <alignment vertical="center"/>
      <protection/>
    </xf>
    <xf numFmtId="169" fontId="1" fillId="0" borderId="35" xfId="66" applyNumberFormat="1" applyFont="1" applyBorder="1" applyAlignment="1">
      <alignment vertical="center"/>
      <protection/>
    </xf>
    <xf numFmtId="169" fontId="1" fillId="0" borderId="77" xfId="66" applyNumberFormat="1" applyFont="1" applyBorder="1" applyAlignment="1">
      <alignment vertical="center"/>
      <protection/>
    </xf>
    <xf numFmtId="188" fontId="1" fillId="0" borderId="84" xfId="66" applyNumberFormat="1" applyFont="1" applyBorder="1" applyAlignment="1">
      <alignment vertical="center"/>
      <protection/>
    </xf>
    <xf numFmtId="188" fontId="1" fillId="0" borderId="74" xfId="66" applyNumberFormat="1" applyFont="1" applyBorder="1" applyAlignment="1">
      <alignment vertical="center"/>
      <protection/>
    </xf>
    <xf numFmtId="188" fontId="1" fillId="0" borderId="15" xfId="65" applyNumberFormat="1" applyFont="1" applyBorder="1" applyAlignment="1">
      <alignment vertical="center"/>
      <protection/>
    </xf>
    <xf numFmtId="188" fontId="1" fillId="0" borderId="18" xfId="65" applyNumberFormat="1" applyFont="1" applyBorder="1" applyAlignment="1">
      <alignment vertical="center"/>
      <protection/>
    </xf>
    <xf numFmtId="168" fontId="1" fillId="0" borderId="24" xfId="72" applyNumberFormat="1" applyFont="1" applyBorder="1" applyAlignment="1">
      <alignment horizontal="center" vertical="center"/>
      <protection/>
    </xf>
    <xf numFmtId="168" fontId="1" fillId="0" borderId="22" xfId="72" applyNumberFormat="1" applyFont="1" applyBorder="1" applyAlignment="1">
      <alignment horizontal="center" vertical="center"/>
      <protection/>
    </xf>
    <xf numFmtId="168" fontId="1" fillId="0" borderId="40" xfId="72" applyNumberFormat="1" applyFont="1" applyBorder="1" applyAlignment="1">
      <alignment horizontal="center" vertical="center"/>
      <protection/>
    </xf>
    <xf numFmtId="168" fontId="1" fillId="0" borderId="12" xfId="72" applyNumberFormat="1" applyFont="1" applyBorder="1" applyAlignment="1">
      <alignment horizontal="center" vertical="center"/>
      <protection/>
    </xf>
    <xf numFmtId="183" fontId="1" fillId="0" borderId="24" xfId="72" applyNumberFormat="1" applyFont="1" applyBorder="1" applyAlignment="1" quotePrefix="1">
      <alignment horizontal="center" vertical="center"/>
      <protection/>
    </xf>
    <xf numFmtId="183" fontId="1" fillId="0" borderId="31" xfId="72" applyNumberFormat="1" applyFont="1" applyBorder="1" applyAlignment="1" quotePrefix="1">
      <alignment horizontal="center" vertical="center"/>
      <protection/>
    </xf>
    <xf numFmtId="183" fontId="1" fillId="0" borderId="30" xfId="72" applyNumberFormat="1" applyFont="1" applyBorder="1" applyAlignment="1" quotePrefix="1">
      <alignment horizontal="center" vertical="center"/>
      <protection/>
    </xf>
    <xf numFmtId="183" fontId="1" fillId="0" borderId="22" xfId="72" applyNumberFormat="1" applyFont="1" applyBorder="1" applyAlignment="1" quotePrefix="1">
      <alignment horizontal="center" vertical="center"/>
      <protection/>
    </xf>
    <xf numFmtId="183" fontId="1" fillId="0" borderId="12" xfId="72" applyNumberFormat="1" applyFont="1" applyBorder="1" applyAlignment="1" quotePrefix="1">
      <alignment horizontal="center" vertical="center"/>
      <protection/>
    </xf>
    <xf numFmtId="183" fontId="1" fillId="0" borderId="20" xfId="75" applyNumberFormat="1" applyFont="1" applyBorder="1" applyAlignment="1">
      <alignment horizontal="right" vertical="center"/>
      <protection/>
    </xf>
    <xf numFmtId="38" fontId="1" fillId="0" borderId="29" xfId="65" applyNumberFormat="1" applyFont="1" applyBorder="1" applyAlignment="1">
      <alignment vertical="center"/>
      <protection/>
    </xf>
    <xf numFmtId="38" fontId="1" fillId="0" borderId="26" xfId="65" applyNumberFormat="1" applyFont="1" applyBorder="1" applyAlignment="1">
      <alignment vertical="center"/>
      <protection/>
    </xf>
    <xf numFmtId="38" fontId="1" fillId="0" borderId="36" xfId="65" applyNumberFormat="1" applyFont="1" applyBorder="1" applyAlignment="1">
      <alignment vertical="center"/>
      <protection/>
    </xf>
    <xf numFmtId="38" fontId="1" fillId="0" borderId="37" xfId="65" applyNumberFormat="1" applyFont="1" applyBorder="1" applyAlignment="1">
      <alignment vertical="center"/>
      <protection/>
    </xf>
    <xf numFmtId="0" fontId="13" fillId="0" borderId="0" xfId="64" applyFont="1" applyAlignment="1" quotePrefix="1">
      <alignment horizontal="left"/>
      <protection/>
    </xf>
    <xf numFmtId="0" fontId="13" fillId="0" borderId="0" xfId="64" applyFont="1">
      <alignment/>
      <protection/>
    </xf>
    <xf numFmtId="198" fontId="13" fillId="0" borderId="0" xfId="46" applyNumberFormat="1" applyFont="1" applyAlignment="1">
      <alignment/>
    </xf>
    <xf numFmtId="0" fontId="4" fillId="0" borderId="0" xfId="64" applyFont="1">
      <alignment/>
      <protection/>
    </xf>
    <xf numFmtId="0" fontId="12" fillId="0" borderId="0" xfId="64" applyFont="1">
      <alignment/>
      <protection/>
    </xf>
    <xf numFmtId="198" fontId="12" fillId="0" borderId="0" xfId="46" applyNumberFormat="1" applyFont="1" applyAlignment="1">
      <alignment/>
    </xf>
    <xf numFmtId="0" fontId="1" fillId="0" borderId="11" xfId="64" applyFont="1" applyBorder="1" applyAlignment="1">
      <alignment horizontal="centerContinuous"/>
      <protection/>
    </xf>
    <xf numFmtId="0" fontId="1" fillId="0" borderId="23" xfId="64" applyFont="1" applyBorder="1" applyAlignment="1">
      <alignment horizontal="centerContinuous"/>
      <protection/>
    </xf>
    <xf numFmtId="198" fontId="1" fillId="0" borderId="12" xfId="46" applyNumberFormat="1" applyFont="1" applyBorder="1" applyAlignment="1">
      <alignment horizontal="centerContinuous"/>
    </xf>
    <xf numFmtId="0" fontId="1" fillId="0" borderId="0" xfId="64" applyFont="1">
      <alignment/>
      <protection/>
    </xf>
    <xf numFmtId="0" fontId="1" fillId="0" borderId="17" xfId="64" applyFont="1" applyBorder="1" applyAlignment="1">
      <alignment horizontal="center"/>
      <protection/>
    </xf>
    <xf numFmtId="0" fontId="1" fillId="0" borderId="33" xfId="64" applyFont="1" applyBorder="1" applyAlignment="1">
      <alignment horizontal="center"/>
      <protection/>
    </xf>
    <xf numFmtId="198" fontId="1" fillId="0" borderId="22" xfId="46" applyNumberFormat="1" applyFont="1" applyBorder="1" applyAlignment="1">
      <alignment horizontal="center"/>
    </xf>
    <xf numFmtId="0" fontId="1" fillId="0" borderId="0" xfId="64" applyFont="1">
      <alignment/>
      <protection/>
    </xf>
    <xf numFmtId="0" fontId="1" fillId="0" borderId="10" xfId="64" applyFont="1" applyBorder="1" applyAlignment="1">
      <alignment horizontal="centerContinuous"/>
      <protection/>
    </xf>
    <xf numFmtId="0" fontId="1" fillId="0" borderId="21" xfId="64" applyFont="1" applyBorder="1" applyAlignment="1">
      <alignment horizontal="centerContinuous"/>
      <protection/>
    </xf>
    <xf numFmtId="168" fontId="1" fillId="0" borderId="10" xfId="46" applyNumberFormat="1" applyFont="1" applyBorder="1" applyAlignment="1">
      <alignment horizontal="right"/>
    </xf>
    <xf numFmtId="168" fontId="1" fillId="0" borderId="35" xfId="46" applyNumberFormat="1" applyFont="1" applyBorder="1" applyAlignment="1">
      <alignment horizontal="right"/>
    </xf>
    <xf numFmtId="168" fontId="1" fillId="0" borderId="21" xfId="46" applyNumberFormat="1" applyFont="1" applyBorder="1" applyAlignment="1">
      <alignment horizontal="right"/>
    </xf>
    <xf numFmtId="0" fontId="1" fillId="0" borderId="0" xfId="64" applyFont="1" applyAlignment="1">
      <alignment horizontal="centerContinuous"/>
      <protection/>
    </xf>
    <xf numFmtId="0" fontId="1" fillId="0" borderId="13" xfId="64" applyFont="1" applyBorder="1" applyAlignment="1">
      <alignment horizontal="centerContinuous"/>
      <protection/>
    </xf>
    <xf numFmtId="0" fontId="1" fillId="0" borderId="24" xfId="64" applyFont="1" applyBorder="1" applyAlignment="1">
      <alignment horizontal="centerContinuous"/>
      <protection/>
    </xf>
    <xf numFmtId="168" fontId="1" fillId="0" borderId="13" xfId="46" applyNumberFormat="1" applyFont="1" applyBorder="1" applyAlignment="1">
      <alignment horizontal="right"/>
    </xf>
    <xf numFmtId="168" fontId="1" fillId="0" borderId="36" xfId="46" applyNumberFormat="1" applyFont="1" applyBorder="1" applyAlignment="1">
      <alignment horizontal="right"/>
    </xf>
    <xf numFmtId="168" fontId="1" fillId="0" borderId="24" xfId="46" applyNumberFormat="1" applyFont="1" applyBorder="1" applyAlignment="1">
      <alignment horizontal="right"/>
    </xf>
    <xf numFmtId="168" fontId="1" fillId="0" borderId="17" xfId="46" applyNumberFormat="1" applyFont="1" applyBorder="1" applyAlignment="1">
      <alignment horizontal="right"/>
    </xf>
    <xf numFmtId="168" fontId="1" fillId="0" borderId="22" xfId="46" applyNumberFormat="1" applyFont="1" applyBorder="1" applyAlignment="1">
      <alignment horizontal="right"/>
    </xf>
    <xf numFmtId="0" fontId="3" fillId="0" borderId="11" xfId="64" applyFont="1" applyBorder="1" applyAlignment="1">
      <alignment horizontal="centerContinuous"/>
      <protection/>
    </xf>
    <xf numFmtId="0" fontId="1" fillId="0" borderId="12" xfId="64" applyFont="1" applyBorder="1" applyAlignment="1">
      <alignment horizontal="centerContinuous"/>
      <protection/>
    </xf>
    <xf numFmtId="168" fontId="1" fillId="0" borderId="11" xfId="46" applyNumberFormat="1" applyFont="1" applyBorder="1" applyAlignment="1">
      <alignment horizontal="right"/>
    </xf>
    <xf numFmtId="168" fontId="1" fillId="0" borderId="33" xfId="46" applyNumberFormat="1" applyFont="1" applyBorder="1" applyAlignment="1">
      <alignment horizontal="right"/>
    </xf>
    <xf numFmtId="0" fontId="1" fillId="0" borderId="15" xfId="64" applyFont="1" applyBorder="1" applyAlignment="1">
      <alignment horizontal="centerContinuous"/>
      <protection/>
    </xf>
    <xf numFmtId="0" fontId="1" fillId="0" borderId="0" xfId="64" applyFont="1" applyAlignment="1">
      <alignment horizontal="centerContinuous"/>
      <protection/>
    </xf>
    <xf numFmtId="168" fontId="1" fillId="0" borderId="35" xfId="46" applyNumberFormat="1" applyFont="1" applyBorder="1" applyAlignment="1">
      <alignment horizontal="right"/>
    </xf>
    <xf numFmtId="168" fontId="1" fillId="0" borderId="36" xfId="46" applyNumberFormat="1" applyFont="1" applyBorder="1" applyAlignment="1">
      <alignment horizontal="right"/>
    </xf>
    <xf numFmtId="168" fontId="1" fillId="0" borderId="37" xfId="46" applyNumberFormat="1" applyFont="1" applyBorder="1" applyAlignment="1">
      <alignment horizontal="right"/>
    </xf>
    <xf numFmtId="0" fontId="1" fillId="0" borderId="11" xfId="64" applyFont="1" applyBorder="1" applyAlignment="1">
      <alignment horizontal="centerContinuous"/>
      <protection/>
    </xf>
    <xf numFmtId="168" fontId="1" fillId="0" borderId="85" xfId="46" applyNumberFormat="1" applyFont="1" applyBorder="1" applyAlignment="1">
      <alignment horizontal="right"/>
    </xf>
    <xf numFmtId="0" fontId="1" fillId="0" borderId="0" xfId="64" applyFont="1" applyBorder="1" applyAlignment="1">
      <alignment horizontal="centerContinuous"/>
      <protection/>
    </xf>
    <xf numFmtId="168" fontId="1" fillId="0" borderId="86" xfId="46" applyNumberFormat="1" applyFont="1" applyBorder="1" applyAlignment="1">
      <alignment horizontal="right"/>
    </xf>
    <xf numFmtId="168" fontId="1" fillId="0" borderId="87" xfId="46" applyNumberFormat="1" applyFont="1" applyBorder="1" applyAlignment="1">
      <alignment horizontal="right"/>
    </xf>
    <xf numFmtId="168" fontId="1" fillId="0" borderId="88" xfId="46" applyNumberFormat="1" applyFont="1" applyBorder="1" applyAlignment="1">
      <alignment horizontal="right"/>
    </xf>
    <xf numFmtId="168" fontId="1" fillId="0" borderId="33" xfId="46" applyNumberFormat="1" applyFont="1" applyBorder="1" applyAlignment="1">
      <alignment horizontal="right"/>
    </xf>
    <xf numFmtId="168" fontId="1" fillId="0" borderId="12" xfId="46" applyNumberFormat="1" applyFont="1" applyBorder="1" applyAlignment="1">
      <alignment horizontal="right"/>
    </xf>
    <xf numFmtId="168" fontId="15" fillId="0" borderId="0" xfId="64" applyNumberFormat="1" applyFont="1" applyAlignment="1">
      <alignment horizontal="center"/>
      <protection/>
    </xf>
    <xf numFmtId="0" fontId="13" fillId="0" borderId="0" xfId="63" applyFont="1" applyAlignment="1" quotePrefix="1">
      <alignment horizontal="left"/>
      <protection/>
    </xf>
    <xf numFmtId="0" fontId="13" fillId="0" borderId="0" xfId="63" applyFont="1">
      <alignment/>
      <protection/>
    </xf>
    <xf numFmtId="0" fontId="12" fillId="0" borderId="0" xfId="63" applyFont="1">
      <alignment/>
      <protection/>
    </xf>
    <xf numFmtId="0" fontId="1" fillId="0" borderId="11" xfId="63" applyFont="1" applyBorder="1" applyAlignment="1">
      <alignment horizontal="centerContinuous"/>
      <protection/>
    </xf>
    <xf numFmtId="0" fontId="1" fillId="0" borderId="23" xfId="63" applyFont="1" applyBorder="1" applyAlignment="1">
      <alignment horizontal="centerContinuous"/>
      <protection/>
    </xf>
    <xf numFmtId="198" fontId="1" fillId="0" borderId="12" xfId="45" applyNumberFormat="1" applyFont="1" applyBorder="1" applyAlignment="1">
      <alignment horizontal="centerContinuous"/>
    </xf>
    <xf numFmtId="0" fontId="1" fillId="0" borderId="0" xfId="63" applyFont="1">
      <alignment/>
      <protection/>
    </xf>
    <xf numFmtId="0" fontId="1" fillId="0" borderId="17" xfId="63" applyFont="1" applyBorder="1" applyAlignment="1">
      <alignment horizontal="centerContinuous"/>
      <protection/>
    </xf>
    <xf numFmtId="0" fontId="1" fillId="0" borderId="33" xfId="63" applyFont="1" applyBorder="1" applyAlignment="1">
      <alignment horizontal="centerContinuous"/>
      <protection/>
    </xf>
    <xf numFmtId="198" fontId="1" fillId="0" borderId="22" xfId="45" applyNumberFormat="1" applyFont="1" applyBorder="1" applyAlignment="1">
      <alignment horizontal="centerContinuous"/>
    </xf>
    <xf numFmtId="0" fontId="3" fillId="0" borderId="14" xfId="63" applyFont="1" applyBorder="1" applyAlignment="1">
      <alignment/>
      <protection/>
    </xf>
    <xf numFmtId="0" fontId="1" fillId="0" borderId="13" xfId="63" applyFont="1" applyBorder="1">
      <alignment/>
      <protection/>
    </xf>
    <xf numFmtId="0" fontId="1" fillId="0" borderId="23" xfId="63" applyFont="1" applyBorder="1">
      <alignment/>
      <protection/>
    </xf>
    <xf numFmtId="0" fontId="1" fillId="0" borderId="0" xfId="63" applyFont="1" applyBorder="1">
      <alignment/>
      <protection/>
    </xf>
    <xf numFmtId="0" fontId="1" fillId="0" borderId="0" xfId="63" applyFont="1">
      <alignment/>
      <protection/>
    </xf>
    <xf numFmtId="0" fontId="1" fillId="0" borderId="24" xfId="63" applyFont="1" applyBorder="1">
      <alignment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21" xfId="63" applyFont="1" applyBorder="1" applyAlignment="1">
      <alignment horizontal="centerContinuous"/>
      <protection/>
    </xf>
    <xf numFmtId="169" fontId="1" fillId="0" borderId="10" xfId="63" applyNumberFormat="1" applyFont="1" applyBorder="1" applyAlignment="1">
      <alignment/>
      <protection/>
    </xf>
    <xf numFmtId="169" fontId="1" fillId="0" borderId="35" xfId="63" applyNumberFormat="1" applyFont="1" applyBorder="1" applyAlignment="1">
      <alignment/>
      <protection/>
    </xf>
    <xf numFmtId="169" fontId="1" fillId="0" borderId="21" xfId="45" applyNumberFormat="1" applyFont="1" applyBorder="1" applyAlignment="1">
      <alignment/>
    </xf>
    <xf numFmtId="0" fontId="1" fillId="0" borderId="13" xfId="63" applyFont="1" applyBorder="1" applyAlignment="1">
      <alignment horizontal="center" vertical="center"/>
      <protection/>
    </xf>
    <xf numFmtId="0" fontId="1" fillId="0" borderId="24" xfId="63" applyFont="1" applyBorder="1" applyAlignment="1">
      <alignment horizontal="centerContinuous"/>
      <protection/>
    </xf>
    <xf numFmtId="169" fontId="1" fillId="0" borderId="13" xfId="63" applyNumberFormat="1" applyFont="1" applyBorder="1" applyAlignment="1">
      <alignment/>
      <protection/>
    </xf>
    <xf numFmtId="169" fontId="1" fillId="0" borderId="36" xfId="63" applyNumberFormat="1" applyFont="1" applyBorder="1" applyAlignment="1">
      <alignment/>
      <protection/>
    </xf>
    <xf numFmtId="169" fontId="1" fillId="0" borderId="24" xfId="45" applyNumberFormat="1" applyFont="1" applyBorder="1" applyAlignment="1">
      <alignment/>
    </xf>
    <xf numFmtId="0" fontId="1" fillId="0" borderId="22" xfId="63" applyFont="1" applyBorder="1" applyAlignment="1">
      <alignment horizontal="centerContinuous"/>
      <protection/>
    </xf>
    <xf numFmtId="169" fontId="1" fillId="0" borderId="17" xfId="63" applyNumberFormat="1" applyFont="1" applyBorder="1" applyAlignment="1">
      <alignment/>
      <protection/>
    </xf>
    <xf numFmtId="169" fontId="1" fillId="0" borderId="37" xfId="63" applyNumberFormat="1" applyFont="1" applyBorder="1" applyAlignment="1">
      <alignment/>
      <protection/>
    </xf>
    <xf numFmtId="169" fontId="1" fillId="0" borderId="22" xfId="45" applyNumberFormat="1" applyFont="1" applyBorder="1" applyAlignment="1">
      <alignment/>
    </xf>
    <xf numFmtId="169" fontId="1" fillId="0" borderId="22" xfId="63" applyNumberFormat="1" applyFont="1" applyBorder="1" applyAlignment="1">
      <alignment/>
      <protection/>
    </xf>
    <xf numFmtId="0" fontId="1" fillId="0" borderId="10" xfId="63" applyFont="1" applyBorder="1" applyAlignment="1">
      <alignment horizontal="centerContinuous"/>
      <protection/>
    </xf>
    <xf numFmtId="169" fontId="1" fillId="0" borderId="23" xfId="63" applyNumberFormat="1" applyFont="1" applyBorder="1" applyAlignment="1">
      <alignment/>
      <protection/>
    </xf>
    <xf numFmtId="169" fontId="1" fillId="0" borderId="15" xfId="63" applyNumberFormat="1" applyFont="1" applyBorder="1" applyAlignment="1">
      <alignment/>
      <protection/>
    </xf>
    <xf numFmtId="169" fontId="1" fillId="0" borderId="23" xfId="63" applyNumberFormat="1" applyFont="1" applyBorder="1" applyAlignment="1">
      <alignment/>
      <protection/>
    </xf>
    <xf numFmtId="169" fontId="1" fillId="0" borderId="23" xfId="45" applyNumberFormat="1" applyFont="1" applyBorder="1" applyAlignment="1">
      <alignment/>
    </xf>
    <xf numFmtId="169" fontId="1" fillId="0" borderId="12" xfId="45" applyNumberFormat="1" applyFont="1" applyBorder="1" applyAlignment="1">
      <alignment/>
    </xf>
    <xf numFmtId="169" fontId="1" fillId="0" borderId="21" xfId="63" applyNumberFormat="1" applyFont="1" applyBorder="1" applyAlignment="1">
      <alignment/>
      <protection/>
    </xf>
    <xf numFmtId="169" fontId="1" fillId="0" borderId="12" xfId="63" applyNumberFormat="1" applyFont="1" applyBorder="1" applyAlignment="1">
      <alignment/>
      <protection/>
    </xf>
    <xf numFmtId="0" fontId="3" fillId="0" borderId="19" xfId="63" applyFont="1" applyBorder="1" applyAlignment="1">
      <alignment/>
      <protection/>
    </xf>
    <xf numFmtId="169" fontId="19" fillId="0" borderId="23" xfId="63" applyNumberFormat="1" applyFont="1" applyBorder="1" applyAlignment="1">
      <alignment/>
      <protection/>
    </xf>
    <xf numFmtId="169" fontId="1" fillId="0" borderId="15" xfId="45" applyNumberFormat="1" applyFont="1" applyBorder="1" applyAlignment="1">
      <alignment/>
    </xf>
    <xf numFmtId="169" fontId="1" fillId="0" borderId="35" xfId="45" applyNumberFormat="1" applyFont="1" applyBorder="1" applyAlignment="1">
      <alignment/>
    </xf>
    <xf numFmtId="169" fontId="1" fillId="0" borderId="0" xfId="45" applyNumberFormat="1" applyFont="1" applyBorder="1" applyAlignment="1">
      <alignment/>
    </xf>
    <xf numFmtId="169" fontId="1" fillId="0" borderId="36" xfId="45" applyNumberFormat="1" applyFont="1" applyBorder="1" applyAlignment="1">
      <alignment/>
    </xf>
    <xf numFmtId="169" fontId="1" fillId="0" borderId="18" xfId="45" applyNumberFormat="1" applyFont="1" applyBorder="1" applyAlignment="1">
      <alignment/>
    </xf>
    <xf numFmtId="169" fontId="1" fillId="0" borderId="37" xfId="45" applyNumberFormat="1" applyFont="1" applyBorder="1" applyAlignment="1">
      <alignment/>
    </xf>
    <xf numFmtId="0" fontId="15" fillId="0" borderId="0" xfId="63" applyFont="1">
      <alignment/>
      <protection/>
    </xf>
    <xf numFmtId="168" fontId="15" fillId="0" borderId="0" xfId="63" applyNumberFormat="1" applyFont="1" applyAlignment="1">
      <alignment horizontal="center"/>
      <protection/>
    </xf>
    <xf numFmtId="0" fontId="12" fillId="0" borderId="0" xfId="63" applyFont="1">
      <alignment/>
      <protection/>
    </xf>
    <xf numFmtId="168" fontId="1" fillId="0" borderId="39" xfId="46" applyNumberFormat="1" applyFont="1" applyBorder="1" applyAlignment="1">
      <alignment horizontal="right"/>
    </xf>
    <xf numFmtId="168" fontId="1" fillId="0" borderId="29" xfId="46" applyNumberFormat="1" applyFont="1" applyBorder="1" applyAlignment="1">
      <alignment horizontal="right"/>
    </xf>
    <xf numFmtId="168" fontId="1" fillId="0" borderId="26" xfId="46" applyNumberFormat="1" applyFont="1" applyBorder="1" applyAlignment="1">
      <alignment horizontal="right"/>
    </xf>
    <xf numFmtId="168" fontId="1" fillId="0" borderId="27" xfId="46" applyNumberFormat="1" applyFont="1" applyBorder="1" applyAlignment="1">
      <alignment horizontal="right"/>
    </xf>
    <xf numFmtId="186" fontId="1" fillId="0" borderId="0" xfId="0" applyNumberFormat="1" applyFont="1" applyBorder="1" applyAlignment="1" quotePrefix="1">
      <alignment horizontal="center" vertical="center"/>
    </xf>
    <xf numFmtId="169" fontId="1" fillId="0" borderId="19" xfId="0" applyNumberFormat="1" applyFont="1" applyBorder="1" applyAlignment="1">
      <alignment vertical="center"/>
    </xf>
    <xf numFmtId="169" fontId="1" fillId="0" borderId="89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>
      <alignment vertical="center"/>
    </xf>
    <xf numFmtId="169" fontId="1" fillId="0" borderId="82" xfId="0" applyNumberFormat="1" applyFont="1" applyBorder="1" applyAlignment="1" quotePrefix="1">
      <alignment vertical="center"/>
    </xf>
    <xf numFmtId="169" fontId="1" fillId="0" borderId="82" xfId="0" applyNumberFormat="1" applyFont="1" applyBorder="1" applyAlignment="1">
      <alignment horizontal="right" vertical="center"/>
    </xf>
    <xf numFmtId="169" fontId="1" fillId="0" borderId="14" xfId="0" applyNumberFormat="1" applyFont="1" applyBorder="1" applyAlignment="1">
      <alignment vertical="center"/>
    </xf>
    <xf numFmtId="169" fontId="1" fillId="0" borderId="37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 quotePrefix="1">
      <alignment horizontal="left" wrapText="1"/>
    </xf>
    <xf numFmtId="0" fontId="1" fillId="0" borderId="0" xfId="0" applyFont="1" applyFill="1" applyAlignment="1" quotePrefix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top" wrapText="1"/>
    </xf>
    <xf numFmtId="194" fontId="12" fillId="0" borderId="16" xfId="74" applyNumberFormat="1" applyFont="1" applyBorder="1" applyAlignment="1">
      <alignment horizontal="right"/>
      <protection/>
    </xf>
    <xf numFmtId="167" fontId="12" fillId="0" borderId="39" xfId="74" applyNumberFormat="1" applyFont="1" applyBorder="1" applyAlignment="1">
      <alignment horizontal="right"/>
      <protection/>
    </xf>
    <xf numFmtId="173" fontId="12" fillId="0" borderId="35" xfId="74" applyNumberFormat="1" applyFont="1" applyBorder="1" applyAlignment="1">
      <alignment horizontal="center"/>
      <protection/>
    </xf>
    <xf numFmtId="173" fontId="12" fillId="0" borderId="40" xfId="74" applyNumberFormat="1" applyFont="1" applyBorder="1" applyAlignment="1">
      <alignment horizontal="center"/>
      <protection/>
    </xf>
    <xf numFmtId="174" fontId="12" fillId="0" borderId="16" xfId="74" applyNumberFormat="1" applyFont="1" applyBorder="1" applyAlignment="1">
      <alignment horizontal="right"/>
      <protection/>
    </xf>
    <xf numFmtId="194" fontId="12" fillId="0" borderId="14" xfId="74" applyNumberFormat="1" applyFont="1" applyBorder="1" applyAlignment="1">
      <alignment horizontal="right"/>
      <protection/>
    </xf>
    <xf numFmtId="167" fontId="12" fillId="0" borderId="29" xfId="74" applyNumberFormat="1" applyFont="1" applyBorder="1" applyAlignment="1">
      <alignment horizontal="right"/>
      <protection/>
    </xf>
    <xf numFmtId="167" fontId="12" fillId="0" borderId="36" xfId="74" applyNumberFormat="1" applyFont="1" applyBorder="1" applyAlignment="1">
      <alignment horizontal="center"/>
      <protection/>
    </xf>
    <xf numFmtId="173" fontId="12" fillId="0" borderId="36" xfId="74" applyNumberFormat="1" applyFont="1" applyBorder="1" applyAlignment="1">
      <alignment horizontal="center"/>
      <protection/>
    </xf>
    <xf numFmtId="173" fontId="12" fillId="0" borderId="30" xfId="74" applyNumberFormat="1" applyFont="1" applyBorder="1" applyAlignment="1">
      <alignment horizontal="center"/>
      <protection/>
    </xf>
    <xf numFmtId="174" fontId="12" fillId="0" borderId="14" xfId="74" applyNumberFormat="1" applyFont="1" applyBorder="1" applyAlignment="1">
      <alignment horizontal="right"/>
      <protection/>
    </xf>
    <xf numFmtId="173" fontId="12" fillId="0" borderId="29" xfId="74" applyNumberFormat="1" applyFont="1" applyBorder="1" applyAlignment="1">
      <alignment horizontal="center"/>
      <protection/>
    </xf>
    <xf numFmtId="1" fontId="12" fillId="0" borderId="36" xfId="74" applyNumberFormat="1" applyFont="1" applyBorder="1" applyAlignment="1">
      <alignment horizontal="center"/>
      <protection/>
    </xf>
    <xf numFmtId="194" fontId="12" fillId="0" borderId="20" xfId="74" applyNumberFormat="1" applyFont="1" applyBorder="1" applyAlignment="1">
      <alignment horizontal="right"/>
      <protection/>
    </xf>
    <xf numFmtId="193" fontId="12" fillId="0" borderId="20" xfId="74" applyNumberFormat="1" applyFont="1" applyBorder="1" applyAlignment="1">
      <alignment horizontal="right"/>
      <protection/>
    </xf>
    <xf numFmtId="0" fontId="1" fillId="0" borderId="18" xfId="76" applyFont="1" applyBorder="1">
      <alignment/>
      <protection/>
    </xf>
    <xf numFmtId="0" fontId="1" fillId="0" borderId="18" xfId="76" applyFont="1" applyBorder="1" applyAlignment="1">
      <alignment/>
      <protection/>
    </xf>
    <xf numFmtId="0" fontId="1" fillId="0" borderId="39" xfId="77" applyFont="1" applyBorder="1" applyAlignment="1">
      <alignment horizontal="center"/>
      <protection/>
    </xf>
    <xf numFmtId="167" fontId="12" fillId="0" borderId="33" xfId="74" applyNumberFormat="1" applyFont="1" applyBorder="1" applyAlignment="1">
      <alignment horizontal="center"/>
      <protection/>
    </xf>
    <xf numFmtId="167" fontId="12" fillId="0" borderId="34" xfId="74" applyNumberFormat="1" applyFont="1" applyBorder="1" applyAlignment="1">
      <alignment horizontal="center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 quotePrefix="1">
      <alignment vertical="center" wrapText="1"/>
    </xf>
    <xf numFmtId="0" fontId="13" fillId="0" borderId="0" xfId="73" applyFont="1" applyAlignment="1">
      <alignment horizontal="left"/>
      <protection/>
    </xf>
    <xf numFmtId="0" fontId="1" fillId="0" borderId="90" xfId="0" applyFont="1" applyBorder="1" applyAlignment="1">
      <alignment/>
    </xf>
    <xf numFmtId="0" fontId="1" fillId="0" borderId="91" xfId="0" applyFont="1" applyBorder="1" applyAlignment="1">
      <alignment/>
    </xf>
    <xf numFmtId="0" fontId="1" fillId="0" borderId="92" xfId="0" applyFont="1" applyBorder="1" applyAlignment="1">
      <alignment/>
    </xf>
    <xf numFmtId="0" fontId="1" fillId="0" borderId="93" xfId="0" applyFont="1" applyBorder="1" applyAlignment="1">
      <alignment/>
    </xf>
    <xf numFmtId="0" fontId="1" fillId="0" borderId="92" xfId="0" applyFont="1" applyFill="1" applyBorder="1" applyAlignment="1">
      <alignment/>
    </xf>
    <xf numFmtId="0" fontId="27" fillId="0" borderId="0" xfId="0" applyFont="1" applyAlignment="1">
      <alignment/>
    </xf>
    <xf numFmtId="0" fontId="1" fillId="0" borderId="92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94" xfId="0" applyFont="1" applyBorder="1" applyAlignment="1">
      <alignment wrapText="1"/>
    </xf>
    <xf numFmtId="0" fontId="1" fillId="0" borderId="91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2" fillId="0" borderId="0" xfId="0" applyFont="1" applyAlignment="1">
      <alignment horizontal="center"/>
    </xf>
    <xf numFmtId="3" fontId="1" fillId="0" borderId="90" xfId="0" applyNumberFormat="1" applyFont="1" applyBorder="1" applyAlignment="1">
      <alignment horizontal="center"/>
    </xf>
    <xf numFmtId="3" fontId="1" fillId="0" borderId="91" xfId="0" applyNumberFormat="1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166" fontId="1" fillId="0" borderId="92" xfId="0" applyNumberFormat="1" applyFont="1" applyBorder="1" applyAlignment="1">
      <alignment horizontal="center"/>
    </xf>
    <xf numFmtId="0" fontId="1" fillId="0" borderId="90" xfId="0" applyFont="1" applyFill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92" xfId="0" applyFon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91" xfId="0" applyNumberFormat="1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0" borderId="71" xfId="65" applyFont="1" applyBorder="1" applyAlignment="1">
      <alignment horizontal="center" vertical="center" wrapText="1"/>
      <protection/>
    </xf>
    <xf numFmtId="0" fontId="1" fillId="0" borderId="33" xfId="65" applyFont="1" applyBorder="1" applyAlignment="1">
      <alignment horizontal="center" vertical="center" wrapText="1"/>
      <protection/>
    </xf>
    <xf numFmtId="0" fontId="1" fillId="0" borderId="72" xfId="65" applyFont="1" applyBorder="1" applyAlignment="1">
      <alignment horizontal="center" vertical="center" wrapText="1"/>
      <protection/>
    </xf>
    <xf numFmtId="0" fontId="13" fillId="0" borderId="0" xfId="65" applyFont="1" applyAlignment="1">
      <alignment/>
      <protection/>
    </xf>
    <xf numFmtId="190" fontId="1" fillId="0" borderId="18" xfId="0" applyNumberFormat="1" applyFont="1" applyBorder="1" applyAlignment="1">
      <alignment/>
    </xf>
    <xf numFmtId="190" fontId="1" fillId="0" borderId="26" xfId="0" applyNumberFormat="1" applyFont="1" applyBorder="1" applyAlignment="1">
      <alignment/>
    </xf>
    <xf numFmtId="0" fontId="1" fillId="0" borderId="10" xfId="73" applyFont="1" applyBorder="1" applyAlignment="1">
      <alignment horizontal="center" vertical="center" wrapText="1"/>
      <protection/>
    </xf>
    <xf numFmtId="0" fontId="1" fillId="0" borderId="15" xfId="73" applyFont="1" applyBorder="1" applyAlignment="1">
      <alignment horizontal="center" vertical="center" wrapText="1"/>
      <protection/>
    </xf>
    <xf numFmtId="0" fontId="1" fillId="0" borderId="17" xfId="73" applyFont="1" applyBorder="1" applyAlignment="1">
      <alignment horizontal="center" vertical="center" wrapText="1"/>
      <protection/>
    </xf>
    <xf numFmtId="0" fontId="1" fillId="0" borderId="18" xfId="73" applyFont="1" applyBorder="1" applyAlignment="1">
      <alignment horizontal="center" vertical="center" wrapText="1"/>
      <protection/>
    </xf>
    <xf numFmtId="0" fontId="12" fillId="0" borderId="23" xfId="73" applyFont="1" applyBorder="1" applyAlignment="1">
      <alignment horizontal="center" vertical="center" wrapText="1"/>
      <protection/>
    </xf>
    <xf numFmtId="0" fontId="1" fillId="0" borderId="23" xfId="73" applyFont="1" applyBorder="1" applyAlignment="1">
      <alignment horizontal="center" vertical="center" wrapText="1"/>
      <protection/>
    </xf>
    <xf numFmtId="183" fontId="12" fillId="0" borderId="13" xfId="73" applyNumberFormat="1" applyFont="1" applyBorder="1" applyAlignment="1">
      <alignment horizontal="center"/>
      <protection/>
    </xf>
    <xf numFmtId="183" fontId="12" fillId="0" borderId="24" xfId="73" applyNumberFormat="1" applyFont="1" applyBorder="1" applyAlignment="1">
      <alignment horizontal="center"/>
      <protection/>
    </xf>
    <xf numFmtId="183" fontId="12" fillId="0" borderId="31" xfId="73" applyNumberFormat="1" applyFont="1" applyBorder="1" applyAlignment="1">
      <alignment horizontal="center"/>
      <protection/>
    </xf>
    <xf numFmtId="0" fontId="13" fillId="0" borderId="0" xfId="69" applyFont="1">
      <alignment/>
      <protection/>
    </xf>
    <xf numFmtId="0" fontId="3" fillId="0" borderId="0" xfId="69" applyFont="1" applyAlignment="1">
      <alignment/>
      <protection/>
    </xf>
    <xf numFmtId="0" fontId="13" fillId="0" borderId="0" xfId="70" applyFont="1">
      <alignment/>
      <protection/>
    </xf>
    <xf numFmtId="167" fontId="12" fillId="0" borderId="14" xfId="74" applyNumberFormat="1" applyFont="1" applyFill="1" applyBorder="1" applyAlignment="1">
      <alignment horizontal="center"/>
      <protection/>
    </xf>
    <xf numFmtId="167" fontId="12" fillId="0" borderId="16" xfId="74" applyNumberFormat="1" applyFont="1" applyFill="1" applyBorder="1" applyAlignment="1">
      <alignment horizontal="center"/>
      <protection/>
    </xf>
    <xf numFmtId="167" fontId="12" fillId="0" borderId="20" xfId="74" applyNumberFormat="1" applyFont="1" applyFill="1" applyBorder="1" applyAlignment="1">
      <alignment horizontal="center"/>
      <protection/>
    </xf>
    <xf numFmtId="167" fontId="12" fillId="0" borderId="36" xfId="74" applyNumberFormat="1" applyFont="1" applyBorder="1" applyAlignment="1">
      <alignment horizontal="right"/>
      <protection/>
    </xf>
    <xf numFmtId="1" fontId="12" fillId="0" borderId="30" xfId="74" applyNumberFormat="1" applyFont="1" applyBorder="1" applyAlignment="1">
      <alignment horizontal="center"/>
      <protection/>
    </xf>
    <xf numFmtId="167" fontId="12" fillId="0" borderId="27" xfId="74" applyNumberFormat="1" applyFont="1" applyBorder="1" applyAlignment="1">
      <alignment horizontal="right"/>
      <protection/>
    </xf>
    <xf numFmtId="1" fontId="12" fillId="0" borderId="33" xfId="74" applyNumberFormat="1" applyFont="1" applyBorder="1" applyAlignment="1">
      <alignment horizontal="center"/>
      <protection/>
    </xf>
    <xf numFmtId="0" fontId="1" fillId="0" borderId="33" xfId="0" applyFont="1" applyBorder="1" applyAlignment="1">
      <alignment horizontal="center" wrapText="1"/>
    </xf>
    <xf numFmtId="0" fontId="1" fillId="0" borderId="10" xfId="0" applyFont="1" applyBorder="1" applyAlignment="1">
      <alignment horizontal="centerContinuous" wrapText="1"/>
    </xf>
    <xf numFmtId="0" fontId="1" fillId="0" borderId="23" xfId="0" applyFont="1" applyBorder="1" applyAlignment="1">
      <alignment horizontal="centerContinuous" wrapText="1"/>
    </xf>
    <xf numFmtId="0" fontId="1" fillId="0" borderId="71" xfId="66" applyFont="1" applyBorder="1" applyAlignment="1">
      <alignment horizontal="centerContinuous" vertical="center" wrapText="1"/>
      <protection/>
    </xf>
    <xf numFmtId="0" fontId="1" fillId="0" borderId="43" xfId="0" applyFont="1" applyBorder="1" applyAlignment="1">
      <alignment horizontal="centerContinuous" wrapText="1"/>
    </xf>
    <xf numFmtId="0" fontId="4" fillId="0" borderId="0" xfId="77" applyFont="1" applyAlignment="1">
      <alignment/>
      <protection/>
    </xf>
    <xf numFmtId="0" fontId="28" fillId="0" borderId="13" xfId="0" applyFont="1" applyBorder="1" applyAlignment="1">
      <alignment wrapText="1"/>
    </xf>
    <xf numFmtId="180" fontId="1" fillId="0" borderId="19" xfId="0" applyNumberFormat="1" applyFont="1" applyFill="1" applyBorder="1" applyAlignment="1">
      <alignment vertical="center"/>
    </xf>
    <xf numFmtId="3" fontId="1" fillId="0" borderId="91" xfId="0" applyNumberFormat="1" applyFont="1" applyFill="1" applyBorder="1" applyAlignment="1">
      <alignment horizontal="center"/>
    </xf>
    <xf numFmtId="0" fontId="1" fillId="0" borderId="91" xfId="0" applyFont="1" applyFill="1" applyBorder="1" applyAlignment="1">
      <alignment horizontal="center"/>
    </xf>
    <xf numFmtId="1" fontId="1" fillId="0" borderId="91" xfId="0" applyNumberFormat="1" applyFont="1" applyFill="1" applyBorder="1" applyAlignment="1">
      <alignment horizontal="center"/>
    </xf>
    <xf numFmtId="1" fontId="1" fillId="0" borderId="93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93" xfId="0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64" fontId="1" fillId="0" borderId="91" xfId="0" applyNumberFormat="1" applyFont="1" applyFill="1" applyBorder="1" applyAlignment="1">
      <alignment horizontal="center"/>
    </xf>
    <xf numFmtId="0" fontId="1" fillId="0" borderId="94" xfId="0" applyFont="1" applyFill="1" applyBorder="1" applyAlignment="1">
      <alignment horizontal="center"/>
    </xf>
    <xf numFmtId="0" fontId="1" fillId="0" borderId="13" xfId="73" applyFont="1" applyBorder="1" applyAlignment="1">
      <alignment wrapText="1"/>
      <protection/>
    </xf>
    <xf numFmtId="0" fontId="1" fillId="0" borderId="15" xfId="74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3" fillId="0" borderId="0" xfId="67" applyFont="1">
      <alignment/>
      <protection/>
    </xf>
    <xf numFmtId="0" fontId="13" fillId="0" borderId="0" xfId="68" applyFont="1">
      <alignment/>
      <protection/>
    </xf>
    <xf numFmtId="0" fontId="1" fillId="0" borderId="26" xfId="68" applyFont="1" applyBorder="1" applyAlignment="1">
      <alignment horizontal="centerContinuous" vertical="center" wrapText="1"/>
      <protection/>
    </xf>
    <xf numFmtId="168" fontId="1" fillId="0" borderId="38" xfId="68" applyNumberFormat="1" applyFont="1" applyBorder="1" applyAlignment="1">
      <alignment vertical="center"/>
      <protection/>
    </xf>
    <xf numFmtId="168" fontId="1" fillId="0" borderId="21" xfId="68" applyNumberFormat="1" applyFont="1" applyBorder="1" applyAlignment="1">
      <alignment vertical="center"/>
      <protection/>
    </xf>
    <xf numFmtId="168" fontId="1" fillId="0" borderId="28" xfId="68" applyNumberFormat="1" applyFont="1" applyBorder="1" applyAlignment="1">
      <alignment vertical="center"/>
      <protection/>
    </xf>
    <xf numFmtId="168" fontId="1" fillId="0" borderId="24" xfId="68" applyNumberFormat="1" applyFont="1" applyBorder="1" applyAlignment="1">
      <alignment vertical="center"/>
      <protection/>
    </xf>
    <xf numFmtId="168" fontId="1" fillId="0" borderId="32" xfId="68" applyNumberFormat="1" applyFont="1" applyBorder="1" applyAlignment="1">
      <alignment vertical="center"/>
      <protection/>
    </xf>
    <xf numFmtId="168" fontId="1" fillId="0" borderId="33" xfId="68" applyNumberFormat="1" applyFont="1" applyBorder="1" applyAlignment="1">
      <alignment vertical="center"/>
      <protection/>
    </xf>
    <xf numFmtId="168" fontId="1" fillId="0" borderId="12" xfId="68" applyNumberFormat="1" applyFont="1" applyBorder="1" applyAlignment="1">
      <alignment vertical="center"/>
      <protection/>
    </xf>
    <xf numFmtId="168" fontId="1" fillId="0" borderId="36" xfId="68" applyNumberFormat="1" applyFont="1" applyBorder="1" applyAlignment="1">
      <alignment vertical="center"/>
      <protection/>
    </xf>
    <xf numFmtId="168" fontId="1" fillId="0" borderId="70" xfId="68" applyNumberFormat="1" applyFont="1" applyBorder="1" applyAlignment="1">
      <alignment vertical="center"/>
      <protection/>
    </xf>
    <xf numFmtId="168" fontId="1" fillId="0" borderId="34" xfId="68" applyNumberFormat="1" applyFont="1" applyBorder="1" applyAlignment="1">
      <alignment vertical="center"/>
      <protection/>
    </xf>
    <xf numFmtId="183" fontId="1" fillId="0" borderId="38" xfId="67" applyNumberFormat="1" applyFont="1" applyBorder="1" applyAlignment="1">
      <alignment horizontal="center"/>
      <protection/>
    </xf>
    <xf numFmtId="183" fontId="1" fillId="0" borderId="28" xfId="67" applyNumberFormat="1" applyFont="1" applyBorder="1" applyAlignment="1">
      <alignment horizontal="center"/>
      <protection/>
    </xf>
    <xf numFmtId="183" fontId="1" fillId="0" borderId="15" xfId="67" applyNumberFormat="1" applyFont="1" applyBorder="1" applyAlignment="1">
      <alignment horizontal="center"/>
      <protection/>
    </xf>
    <xf numFmtId="183" fontId="1" fillId="0" borderId="16" xfId="67" applyNumberFormat="1" applyFont="1" applyBorder="1" applyAlignment="1">
      <alignment horizontal="center"/>
      <protection/>
    </xf>
    <xf numFmtId="183" fontId="1" fillId="0" borderId="0" xfId="67" applyNumberFormat="1" applyFont="1" applyBorder="1" applyAlignment="1">
      <alignment horizontal="center"/>
      <protection/>
    </xf>
    <xf numFmtId="183" fontId="1" fillId="0" borderId="14" xfId="67" applyNumberFormat="1" applyFont="1" applyBorder="1" applyAlignment="1">
      <alignment horizontal="center"/>
      <protection/>
    </xf>
    <xf numFmtId="183" fontId="1" fillId="0" borderId="32" xfId="67" applyNumberFormat="1" applyFont="1" applyBorder="1" applyAlignment="1">
      <alignment horizontal="center"/>
      <protection/>
    </xf>
    <xf numFmtId="168" fontId="1" fillId="0" borderId="23" xfId="67" applyNumberFormat="1" applyFont="1" applyBorder="1" applyAlignment="1">
      <alignment horizontal="center"/>
      <protection/>
    </xf>
    <xf numFmtId="183" fontId="1" fillId="0" borderId="20" xfId="67" applyNumberFormat="1" applyFont="1" applyBorder="1" applyAlignment="1">
      <alignment horizontal="center"/>
      <protection/>
    </xf>
    <xf numFmtId="0" fontId="1" fillId="0" borderId="16" xfId="67" applyFont="1" applyBorder="1" applyAlignment="1">
      <alignment/>
      <protection/>
    </xf>
    <xf numFmtId="0" fontId="1" fillId="0" borderId="14" xfId="67" applyFont="1" applyBorder="1" applyAlignment="1">
      <alignment/>
      <protection/>
    </xf>
    <xf numFmtId="0" fontId="1" fillId="0" borderId="20" xfId="67" applyFont="1" applyBorder="1" applyAlignment="1">
      <alignment/>
      <protection/>
    </xf>
    <xf numFmtId="183" fontId="1" fillId="0" borderId="29" xfId="67" applyNumberFormat="1" applyFont="1" applyBorder="1" applyAlignment="1">
      <alignment horizontal="center"/>
      <protection/>
    </xf>
    <xf numFmtId="183" fontId="1" fillId="0" borderId="36" xfId="67" applyNumberFormat="1" applyFont="1" applyBorder="1" applyAlignment="1">
      <alignment horizontal="center"/>
      <protection/>
    </xf>
    <xf numFmtId="183" fontId="1" fillId="0" borderId="30" xfId="67" applyNumberFormat="1" applyFont="1" applyBorder="1" applyAlignment="1">
      <alignment horizontal="center"/>
      <protection/>
    </xf>
    <xf numFmtId="168" fontId="1" fillId="0" borderId="40" xfId="68" applyNumberFormat="1" applyFont="1" applyBorder="1" applyAlignment="1">
      <alignment/>
      <protection/>
    </xf>
    <xf numFmtId="168" fontId="1" fillId="0" borderId="39" xfId="68" applyNumberFormat="1" applyFont="1" applyBorder="1" applyAlignment="1">
      <alignment/>
      <protection/>
    </xf>
    <xf numFmtId="183" fontId="1" fillId="0" borderId="30" xfId="69" applyNumberFormat="1" applyFont="1" applyBorder="1" applyAlignment="1">
      <alignment horizontal="right"/>
      <protection/>
    </xf>
    <xf numFmtId="168" fontId="1" fillId="0" borderId="30" xfId="68" applyNumberFormat="1" applyFont="1" applyBorder="1" applyAlignment="1">
      <alignment/>
      <protection/>
    </xf>
    <xf numFmtId="0" fontId="3" fillId="0" borderId="23" xfId="69" applyFont="1" applyBorder="1" applyAlignment="1">
      <alignment horizontal="left"/>
      <protection/>
    </xf>
    <xf numFmtId="0" fontId="3" fillId="0" borderId="0" xfId="69" applyFont="1" applyBorder="1" applyAlignment="1">
      <alignment horizontal="left" wrapText="1"/>
      <protection/>
    </xf>
    <xf numFmtId="183" fontId="1" fillId="0" borderId="28" xfId="69" applyNumberFormat="1" applyFont="1" applyBorder="1" applyAlignment="1">
      <alignment horizontal="right"/>
      <protection/>
    </xf>
    <xf numFmtId="183" fontId="1" fillId="0" borderId="24" xfId="69" applyNumberFormat="1" applyFont="1" applyBorder="1" applyAlignment="1">
      <alignment horizontal="right"/>
      <protection/>
    </xf>
    <xf numFmtId="0" fontId="3" fillId="0" borderId="0" xfId="69" applyFont="1" applyBorder="1" applyAlignment="1">
      <alignment horizontal="left"/>
      <protection/>
    </xf>
    <xf numFmtId="183" fontId="1" fillId="0" borderId="36" xfId="69" applyNumberFormat="1" applyFont="1" applyBorder="1" applyAlignment="1">
      <alignment horizontal="right"/>
      <protection/>
    </xf>
    <xf numFmtId="0" fontId="3" fillId="0" borderId="24" xfId="69" applyFont="1" applyBorder="1" applyAlignment="1">
      <alignment horizontal="left"/>
      <protection/>
    </xf>
    <xf numFmtId="0" fontId="1" fillId="0" borderId="12" xfId="69" applyFont="1" applyBorder="1" applyAlignment="1">
      <alignment horizontal="left"/>
      <protection/>
    </xf>
    <xf numFmtId="183" fontId="1" fillId="0" borderId="32" xfId="69" applyNumberFormat="1" applyFont="1" applyBorder="1" applyAlignment="1">
      <alignment horizontal="right"/>
      <protection/>
    </xf>
    <xf numFmtId="183" fontId="1" fillId="0" borderId="12" xfId="69" applyNumberFormat="1" applyFont="1" applyBorder="1" applyAlignment="1">
      <alignment horizontal="right"/>
      <protection/>
    </xf>
    <xf numFmtId="183" fontId="1" fillId="0" borderId="34" xfId="69" applyNumberFormat="1" applyFont="1" applyBorder="1" applyAlignment="1">
      <alignment horizontal="right"/>
      <protection/>
    </xf>
    <xf numFmtId="0" fontId="3" fillId="0" borderId="15" xfId="69" applyFont="1" applyBorder="1" applyAlignment="1">
      <alignment horizontal="left" wrapText="1"/>
      <protection/>
    </xf>
    <xf numFmtId="38" fontId="1" fillId="0" borderId="39" xfId="48" applyNumberFormat="1" applyFont="1" applyBorder="1" applyAlignment="1">
      <alignment horizontal="right"/>
    </xf>
    <xf numFmtId="183" fontId="1" fillId="0" borderId="38" xfId="69" applyNumberFormat="1" applyFont="1" applyBorder="1" applyAlignment="1">
      <alignment horizontal="right"/>
      <protection/>
    </xf>
    <xf numFmtId="183" fontId="1" fillId="0" borderId="21" xfId="69" applyNumberFormat="1" applyFont="1" applyBorder="1" applyAlignment="1">
      <alignment horizontal="right"/>
      <protection/>
    </xf>
    <xf numFmtId="38" fontId="1" fillId="0" borderId="29" xfId="48" applyNumberFormat="1" applyFont="1" applyBorder="1" applyAlignment="1">
      <alignment horizontal="right"/>
    </xf>
    <xf numFmtId="183" fontId="1" fillId="0" borderId="35" xfId="69" applyNumberFormat="1" applyFont="1" applyBorder="1" applyAlignment="1">
      <alignment horizontal="right"/>
      <protection/>
    </xf>
    <xf numFmtId="183" fontId="1" fillId="0" borderId="40" xfId="69" applyNumberFormat="1" applyFont="1" applyBorder="1" applyAlignment="1">
      <alignment horizontal="right"/>
      <protection/>
    </xf>
    <xf numFmtId="183" fontId="1" fillId="0" borderId="29" xfId="69" applyNumberFormat="1" applyFont="1" applyBorder="1" applyAlignment="1">
      <alignment horizontal="right"/>
      <protection/>
    </xf>
    <xf numFmtId="0" fontId="13" fillId="0" borderId="0" xfId="63" applyFont="1">
      <alignment/>
      <protection/>
    </xf>
    <xf numFmtId="0" fontId="1" fillId="0" borderId="11" xfId="63" applyFont="1" applyBorder="1" applyAlignment="1">
      <alignment horizontal="centerContinuous" vertical="center"/>
      <protection/>
    </xf>
    <xf numFmtId="0" fontId="1" fillId="0" borderId="23" xfId="63" applyFont="1" applyBorder="1" applyAlignment="1">
      <alignment horizontal="centerContinuous" vertical="center"/>
      <protection/>
    </xf>
    <xf numFmtId="198" fontId="1" fillId="0" borderId="12" xfId="45" applyNumberFormat="1" applyFont="1" applyBorder="1" applyAlignment="1">
      <alignment horizontal="centerContinuous" vertical="center"/>
    </xf>
    <xf numFmtId="0" fontId="1" fillId="0" borderId="17" xfId="63" applyFont="1" applyBorder="1" applyAlignment="1">
      <alignment horizontal="centerContinuous" vertical="center"/>
      <protection/>
    </xf>
    <xf numFmtId="0" fontId="1" fillId="0" borderId="33" xfId="63" applyFont="1" applyBorder="1" applyAlignment="1">
      <alignment horizontal="centerContinuous" vertical="center"/>
      <protection/>
    </xf>
    <xf numFmtId="198" fontId="1" fillId="0" borderId="22" xfId="45" applyNumberFormat="1" applyFont="1" applyBorder="1" applyAlignment="1">
      <alignment horizontal="center" vertical="center"/>
    </xf>
    <xf numFmtId="198" fontId="1" fillId="0" borderId="22" xfId="45" applyNumberFormat="1" applyFont="1" applyBorder="1" applyAlignment="1">
      <alignment horizontal="centerContinuous" vertical="center"/>
    </xf>
    <xf numFmtId="0" fontId="13" fillId="0" borderId="0" xfId="64" applyFont="1">
      <alignment/>
      <protection/>
    </xf>
    <xf numFmtId="0" fontId="1" fillId="0" borderId="17" xfId="64" applyFont="1" applyBorder="1" applyAlignment="1">
      <alignment horizontal="center" vertical="center"/>
      <protection/>
    </xf>
    <xf numFmtId="0" fontId="1" fillId="0" borderId="33" xfId="64" applyFont="1" applyBorder="1" applyAlignment="1">
      <alignment horizontal="center" vertical="center"/>
      <protection/>
    </xf>
    <xf numFmtId="198" fontId="1" fillId="0" borderId="22" xfId="46" applyNumberFormat="1" applyFont="1" applyBorder="1" applyAlignment="1">
      <alignment horizontal="center" vertical="center"/>
    </xf>
    <xf numFmtId="0" fontId="13" fillId="0" borderId="0" xfId="72" applyFont="1">
      <alignment/>
      <protection/>
    </xf>
    <xf numFmtId="168" fontId="1" fillId="0" borderId="31" xfId="72" applyNumberFormat="1" applyFont="1" applyBorder="1" applyAlignment="1">
      <alignment horizontal="center" vertical="center"/>
      <protection/>
    </xf>
    <xf numFmtId="168" fontId="1" fillId="0" borderId="34" xfId="72" applyNumberFormat="1" applyFont="1" applyBorder="1" applyAlignment="1">
      <alignment horizontal="center" vertical="center"/>
      <protection/>
    </xf>
    <xf numFmtId="0" fontId="13" fillId="0" borderId="0" xfId="73" applyFont="1" applyAlignment="1">
      <alignment/>
      <protection/>
    </xf>
    <xf numFmtId="0" fontId="13" fillId="0" borderId="0" xfId="76" applyFont="1" applyAlignment="1" quotePrefix="1">
      <alignment horizontal="left"/>
      <protection/>
    </xf>
    <xf numFmtId="204" fontId="12" fillId="0" borderId="30" xfId="74" applyNumberFormat="1" applyFont="1" applyBorder="1" applyAlignment="1">
      <alignment horizontal="center"/>
      <protection/>
    </xf>
    <xf numFmtId="173" fontId="12" fillId="0" borderId="14" xfId="74" applyNumberFormat="1" applyFont="1" applyBorder="1" applyAlignment="1">
      <alignment horizontal="center"/>
      <protection/>
    </xf>
    <xf numFmtId="205" fontId="12" fillId="0" borderId="14" xfId="74" applyNumberFormat="1" applyFont="1" applyBorder="1" applyAlignment="1">
      <alignment horizontal="center"/>
      <protection/>
    </xf>
    <xf numFmtId="167" fontId="12" fillId="0" borderId="0" xfId="74" applyNumberFormat="1" applyFont="1">
      <alignment/>
      <protection/>
    </xf>
    <xf numFmtId="0" fontId="12" fillId="0" borderId="0" xfId="74" applyFont="1" applyFill="1">
      <alignment/>
      <protection/>
    </xf>
    <xf numFmtId="0" fontId="1" fillId="0" borderId="0" xfId="74" applyFont="1" applyFill="1">
      <alignment/>
      <protection/>
    </xf>
    <xf numFmtId="0" fontId="1" fillId="0" borderId="13" xfId="74" applyFont="1" applyBorder="1" applyAlignment="1">
      <alignment horizontal="center"/>
      <protection/>
    </xf>
    <xf numFmtId="0" fontId="1" fillId="0" borderId="0" xfId="74" applyFont="1" applyBorder="1" applyAlignment="1">
      <alignment horizontal="center"/>
      <protection/>
    </xf>
    <xf numFmtId="0" fontId="1" fillId="0" borderId="24" xfId="74" applyFont="1" applyBorder="1" applyAlignment="1">
      <alignment horizontal="center"/>
      <protection/>
    </xf>
    <xf numFmtId="0" fontId="1" fillId="0" borderId="89" xfId="74" applyFont="1" applyBorder="1" applyAlignment="1">
      <alignment horizontal="center"/>
      <protection/>
    </xf>
    <xf numFmtId="0" fontId="1" fillId="0" borderId="35" xfId="74" applyFont="1" applyBorder="1" applyAlignment="1">
      <alignment horizontal="center"/>
      <protection/>
    </xf>
    <xf numFmtId="0" fontId="12" fillId="0" borderId="13" xfId="74" applyFont="1" applyBorder="1" applyAlignment="1">
      <alignment horizontal="left" wrapText="1"/>
      <protection/>
    </xf>
    <xf numFmtId="167" fontId="12" fillId="0" borderId="14" xfId="74" applyNumberFormat="1" applyFont="1" applyBorder="1" applyAlignment="1">
      <alignment horizontal="center"/>
      <protection/>
    </xf>
    <xf numFmtId="173" fontId="12" fillId="0" borderId="30" xfId="74" applyNumberFormat="1" applyFont="1" applyBorder="1" applyAlignment="1">
      <alignment/>
      <protection/>
    </xf>
    <xf numFmtId="199" fontId="12" fillId="0" borderId="30" xfId="74" applyNumberFormat="1" applyFont="1" applyBorder="1" applyAlignment="1">
      <alignment horizontal="center"/>
      <protection/>
    </xf>
    <xf numFmtId="167" fontId="12" fillId="0" borderId="36" xfId="74" applyNumberFormat="1" applyFont="1" applyBorder="1" applyAlignment="1">
      <alignment/>
      <protection/>
    </xf>
    <xf numFmtId="0" fontId="1" fillId="0" borderId="13" xfId="0" applyFont="1" applyBorder="1" applyAlignment="1">
      <alignment horizontal="left" vertical="top"/>
    </xf>
    <xf numFmtId="0" fontId="1" fillId="0" borderId="33" xfId="65" applyFont="1" applyBorder="1" applyAlignment="1">
      <alignment horizontal="center" vertical="center" wrapText="1"/>
      <protection/>
    </xf>
    <xf numFmtId="0" fontId="1" fillId="0" borderId="72" xfId="65" applyFont="1" applyBorder="1" applyAlignment="1">
      <alignment horizontal="center" vertical="center" wrapText="1"/>
      <protection/>
    </xf>
    <xf numFmtId="0" fontId="1" fillId="0" borderId="33" xfId="65" applyFont="1" applyBorder="1" applyAlignment="1">
      <alignment horizontal="centerContinuous" vertical="center" wrapText="1"/>
      <protection/>
    </xf>
    <xf numFmtId="0" fontId="1" fillId="0" borderId="43" xfId="65" applyFont="1" applyBorder="1" applyAlignment="1">
      <alignment horizontal="center" vertical="center" wrapText="1"/>
      <protection/>
    </xf>
    <xf numFmtId="180" fontId="1" fillId="0" borderId="16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174" fontId="1" fillId="0" borderId="16" xfId="0" applyNumberFormat="1" applyFont="1" applyBorder="1" applyAlignment="1">
      <alignment horizontal="right" vertical="center"/>
    </xf>
    <xf numFmtId="174" fontId="1" fillId="0" borderId="19" xfId="0" applyNumberFormat="1" applyFont="1" applyBorder="1" applyAlignment="1">
      <alignment horizontal="right" vertical="center"/>
    </xf>
    <xf numFmtId="174" fontId="1" fillId="0" borderId="2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3" xfId="72" applyFont="1" applyBorder="1" applyAlignment="1">
      <alignment vertical="center"/>
      <protection/>
    </xf>
    <xf numFmtId="0" fontId="1" fillId="0" borderId="13" xfId="73" applyFont="1" applyBorder="1" applyAlignment="1">
      <alignment/>
      <protection/>
    </xf>
    <xf numFmtId="0" fontId="0" fillId="0" borderId="0" xfId="0" applyAlignment="1">
      <alignment/>
    </xf>
    <xf numFmtId="0" fontId="13" fillId="33" borderId="0" xfId="0" applyFont="1" applyFill="1" applyAlignment="1" quotePrefix="1">
      <alignment horizontal="left"/>
    </xf>
    <xf numFmtId="0" fontId="1" fillId="33" borderId="15" xfId="73" applyFont="1" applyFill="1" applyBorder="1" applyAlignment="1">
      <alignment horizontal="center" vertical="center" wrapText="1"/>
      <protection/>
    </xf>
    <xf numFmtId="0" fontId="1" fillId="33" borderId="92" xfId="0" applyFont="1" applyFill="1" applyBorder="1" applyAlignment="1">
      <alignment horizontal="center"/>
    </xf>
    <xf numFmtId="166" fontId="1" fillId="0" borderId="94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3" fillId="0" borderId="24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24" xfId="0" applyFont="1" applyFill="1" applyBorder="1" applyAlignment="1">
      <alignment horizontal="left" wrapText="1" indent="1"/>
    </xf>
    <xf numFmtId="164" fontId="1" fillId="0" borderId="0" xfId="44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22" xfId="0" applyFont="1" applyFill="1" applyBorder="1" applyAlignment="1">
      <alignment horizontal="left" wrapText="1"/>
    </xf>
    <xf numFmtId="171" fontId="1" fillId="0" borderId="17" xfId="0" applyNumberFormat="1" applyFont="1" applyFill="1" applyBorder="1" applyAlignment="1">
      <alignment horizontal="right"/>
    </xf>
    <xf numFmtId="165" fontId="1" fillId="0" borderId="22" xfId="0" applyNumberFormat="1" applyFont="1" applyFill="1" applyBorder="1" applyAlignment="1">
      <alignment horizontal="right"/>
    </xf>
    <xf numFmtId="165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71" fontId="1" fillId="0" borderId="0" xfId="0" applyNumberFormat="1" applyFont="1" applyFill="1" applyBorder="1" applyAlignment="1">
      <alignment horizontal="right"/>
    </xf>
    <xf numFmtId="165" fontId="1" fillId="0" borderId="15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178" fontId="3" fillId="0" borderId="0" xfId="44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71" fontId="1" fillId="0" borderId="11" xfId="0" applyNumberFormat="1" applyFont="1" applyFill="1" applyBorder="1" applyAlignment="1">
      <alignment horizontal="center" wrapText="1"/>
    </xf>
    <xf numFmtId="165" fontId="1" fillId="0" borderId="3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71" fontId="1" fillId="0" borderId="10" xfId="0" applyNumberFormat="1" applyFont="1" applyFill="1" applyBorder="1" applyAlignment="1">
      <alignment horizontal="center" wrapText="1"/>
    </xf>
    <xf numFmtId="165" fontId="1" fillId="0" borderId="4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71" fontId="1" fillId="0" borderId="15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/>
    </xf>
    <xf numFmtId="171" fontId="3" fillId="0" borderId="29" xfId="0" applyNumberFormat="1" applyFont="1" applyFill="1" applyBorder="1" applyAlignment="1">
      <alignment horizontal="right"/>
    </xf>
    <xf numFmtId="165" fontId="6" fillId="0" borderId="30" xfId="0" applyNumberFormat="1" applyFont="1" applyFill="1" applyBorder="1" applyAlignment="1">
      <alignment horizontal="right"/>
    </xf>
    <xf numFmtId="171" fontId="3" fillId="0" borderId="28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left"/>
    </xf>
    <xf numFmtId="171" fontId="7" fillId="0" borderId="0" xfId="0" applyNumberFormat="1" applyFont="1" applyFill="1" applyBorder="1" applyAlignment="1">
      <alignment horizontal="right"/>
    </xf>
    <xf numFmtId="165" fontId="7" fillId="0" borderId="30" xfId="0" applyNumberFormat="1" applyFont="1" applyFill="1" applyBorder="1" applyAlignment="1">
      <alignment horizontal="right"/>
    </xf>
    <xf numFmtId="165" fontId="7" fillId="0" borderId="13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left" indent="3"/>
    </xf>
    <xf numFmtId="171" fontId="3" fillId="0" borderId="0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 indent="3"/>
    </xf>
    <xf numFmtId="0" fontId="4" fillId="0" borderId="22" xfId="0" applyFont="1" applyFill="1" applyBorder="1" applyAlignment="1">
      <alignment wrapText="1"/>
    </xf>
    <xf numFmtId="171" fontId="3" fillId="0" borderId="18" xfId="0" applyNumberFormat="1" applyFont="1" applyFill="1" applyBorder="1" applyAlignment="1">
      <alignment horizontal="right"/>
    </xf>
    <xf numFmtId="171" fontId="3" fillId="0" borderId="26" xfId="44" applyNumberFormat="1" applyFont="1" applyFill="1" applyBorder="1" applyAlignment="1">
      <alignment horizontal="right"/>
    </xf>
    <xf numFmtId="165" fontId="3" fillId="0" borderId="34" xfId="0" applyNumberFormat="1" applyFont="1" applyFill="1" applyBorder="1" applyAlignment="1">
      <alignment horizontal="right"/>
    </xf>
    <xf numFmtId="171" fontId="3" fillId="0" borderId="25" xfId="44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171" fontId="3" fillId="0" borderId="0" xfId="44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24" fillId="0" borderId="0" xfId="0" applyFont="1" applyFill="1" applyAlignment="1">
      <alignment/>
    </xf>
    <xf numFmtId="168" fontId="1" fillId="0" borderId="27" xfId="68" applyNumberFormat="1" applyFont="1" applyBorder="1" applyAlignment="1">
      <alignment/>
      <protection/>
    </xf>
    <xf numFmtId="0" fontId="3" fillId="0" borderId="11" xfId="69" applyFont="1" applyBorder="1" applyAlignment="1">
      <alignment horizontal="left"/>
      <protection/>
    </xf>
    <xf numFmtId="0" fontId="3" fillId="0" borderId="11" xfId="69" applyFont="1" applyBorder="1" applyAlignment="1">
      <alignment horizontal="left" vertical="center"/>
      <protection/>
    </xf>
    <xf numFmtId="180" fontId="12" fillId="0" borderId="0" xfId="0" applyNumberFormat="1" applyFont="1" applyBorder="1" applyAlignment="1">
      <alignment vertical="center"/>
    </xf>
    <xf numFmtId="174" fontId="12" fillId="0" borderId="0" xfId="0" applyNumberFormat="1" applyFont="1" applyBorder="1" applyAlignment="1">
      <alignment vertical="center"/>
    </xf>
    <xf numFmtId="197" fontId="12" fillId="0" borderId="0" xfId="0" applyNumberFormat="1" applyFont="1" applyBorder="1" applyAlignment="1">
      <alignment horizontal="right" vertical="center"/>
    </xf>
    <xf numFmtId="195" fontId="12" fillId="0" borderId="0" xfId="0" applyNumberFormat="1" applyFont="1" applyBorder="1" applyAlignment="1">
      <alignment horizontal="left" vertical="center"/>
    </xf>
    <xf numFmtId="196" fontId="12" fillId="0" borderId="0" xfId="0" applyNumberFormat="1" applyFont="1" applyBorder="1" applyAlignment="1">
      <alignment horizontal="right" vertical="center"/>
    </xf>
    <xf numFmtId="169" fontId="12" fillId="0" borderId="0" xfId="0" applyNumberFormat="1" applyFont="1" applyBorder="1" applyAlignment="1">
      <alignment horizontal="center" vertical="center" textRotation="90"/>
    </xf>
    <xf numFmtId="0" fontId="21" fillId="0" borderId="0" xfId="75" applyFont="1" applyAlignment="1">
      <alignment horizontal="center"/>
      <protection/>
    </xf>
    <xf numFmtId="0" fontId="1" fillId="0" borderId="12" xfId="75" applyFont="1" applyBorder="1" applyAlignment="1">
      <alignment horizontal="center" vertical="center"/>
      <protection/>
    </xf>
    <xf numFmtId="0" fontId="1" fillId="0" borderId="34" xfId="75" applyFont="1" applyBorder="1" applyAlignment="1">
      <alignment horizontal="center" vertical="center"/>
      <protection/>
    </xf>
    <xf numFmtId="0" fontId="12" fillId="0" borderId="0" xfId="75" applyFont="1" applyAlignment="1">
      <alignment horizontal="center"/>
      <protection/>
    </xf>
    <xf numFmtId="168" fontId="1" fillId="0" borderId="40" xfId="75" applyNumberFormat="1" applyFont="1" applyBorder="1" applyAlignment="1">
      <alignment horizontal="center" vertical="center"/>
      <protection/>
    </xf>
    <xf numFmtId="168" fontId="1" fillId="0" borderId="30" xfId="75" applyNumberFormat="1" applyFont="1" applyBorder="1" applyAlignment="1">
      <alignment horizontal="center" vertical="center"/>
      <protection/>
    </xf>
    <xf numFmtId="183" fontId="1" fillId="0" borderId="40" xfId="75" applyNumberFormat="1" applyFont="1" applyBorder="1" applyAlignment="1">
      <alignment horizontal="center" vertical="center"/>
      <protection/>
    </xf>
    <xf numFmtId="183" fontId="1" fillId="0" borderId="23" xfId="75" applyNumberFormat="1" applyFont="1" applyBorder="1" applyAlignment="1">
      <alignment horizontal="center" vertical="center"/>
      <protection/>
    </xf>
    <xf numFmtId="168" fontId="1" fillId="0" borderId="0" xfId="75" applyNumberFormat="1" applyFont="1" applyBorder="1" applyAlignment="1">
      <alignment horizontal="center" vertical="center"/>
      <protection/>
    </xf>
    <xf numFmtId="183" fontId="1" fillId="0" borderId="34" xfId="75" applyNumberFormat="1" applyFont="1" applyBorder="1" applyAlignment="1">
      <alignment horizontal="center" vertical="center"/>
      <protection/>
    </xf>
    <xf numFmtId="0" fontId="1" fillId="0" borderId="0" xfId="75" applyFont="1" applyAlignment="1">
      <alignment horizontal="center"/>
      <protection/>
    </xf>
    <xf numFmtId="0" fontId="29" fillId="0" borderId="0" xfId="0" applyFont="1" applyAlignment="1">
      <alignment/>
    </xf>
    <xf numFmtId="0" fontId="1" fillId="0" borderId="14" xfId="67" applyFont="1" applyBorder="1" applyAlignment="1">
      <alignment/>
      <protection/>
    </xf>
    <xf numFmtId="0" fontId="1" fillId="0" borderId="14" xfId="70" applyFont="1" applyBorder="1" applyAlignment="1">
      <alignment vertical="center"/>
      <protection/>
    </xf>
    <xf numFmtId="0" fontId="1" fillId="0" borderId="0" xfId="73" applyFont="1" applyBorder="1" applyAlignment="1">
      <alignment horizontal="center" vertical="center" wrapText="1"/>
      <protection/>
    </xf>
    <xf numFmtId="183" fontId="12" fillId="0" borderId="0" xfId="73" applyNumberFormat="1" applyFont="1" applyBorder="1" applyAlignment="1">
      <alignment horizontal="center"/>
      <protection/>
    </xf>
    <xf numFmtId="0" fontId="12" fillId="0" borderId="0" xfId="73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13" xfId="44" applyNumberFormat="1" applyFont="1" applyFill="1" applyBorder="1" applyAlignment="1">
      <alignment horizontal="center"/>
    </xf>
    <xf numFmtId="164" fontId="1" fillId="0" borderId="24" xfId="44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7" fontId="3" fillId="0" borderId="10" xfId="44" applyNumberFormat="1" applyFont="1" applyFill="1" applyBorder="1" applyAlignment="1">
      <alignment/>
    </xf>
    <xf numFmtId="177" fontId="3" fillId="0" borderId="21" xfId="44" applyNumberFormat="1" applyFont="1" applyFill="1" applyBorder="1" applyAlignment="1">
      <alignment/>
    </xf>
    <xf numFmtId="174" fontId="1" fillId="0" borderId="10" xfId="0" applyNumberFormat="1" applyFont="1" applyBorder="1" applyAlignment="1">
      <alignment horizontal="right" vertical="center"/>
    </xf>
    <xf numFmtId="174" fontId="1" fillId="0" borderId="21" xfId="0" applyNumberFormat="1" applyFont="1" applyBorder="1" applyAlignment="1">
      <alignment horizontal="right" vertical="center"/>
    </xf>
    <xf numFmtId="174" fontId="1" fillId="0" borderId="15" xfId="0" applyNumberFormat="1" applyFont="1" applyBorder="1" applyAlignment="1">
      <alignment horizontal="right" vertical="center"/>
    </xf>
    <xf numFmtId="174" fontId="1" fillId="0" borderId="17" xfId="0" applyNumberFormat="1" applyFont="1" applyBorder="1" applyAlignment="1">
      <alignment horizontal="right" vertical="center"/>
    </xf>
    <xf numFmtId="174" fontId="1" fillId="0" borderId="18" xfId="0" applyNumberFormat="1" applyFont="1" applyBorder="1" applyAlignment="1">
      <alignment horizontal="right" vertical="center"/>
    </xf>
    <xf numFmtId="174" fontId="1" fillId="0" borderId="22" xfId="0" applyNumberFormat="1" applyFont="1" applyBorder="1" applyAlignment="1">
      <alignment horizontal="right" vertical="center"/>
    </xf>
    <xf numFmtId="195" fontId="1" fillId="0" borderId="17" xfId="0" applyNumberFormat="1" applyFont="1" applyBorder="1" applyAlignment="1">
      <alignment horizontal="center" vertical="center"/>
    </xf>
    <xf numFmtId="195" fontId="1" fillId="0" borderId="22" xfId="0" applyNumberFormat="1" applyFont="1" applyBorder="1" applyAlignment="1">
      <alignment horizontal="center" vertical="center"/>
    </xf>
    <xf numFmtId="179" fontId="1" fillId="0" borderId="17" xfId="0" applyNumberFormat="1" applyFont="1" applyBorder="1" applyAlignment="1">
      <alignment horizontal="center" vertical="center"/>
    </xf>
    <xf numFmtId="179" fontId="1" fillId="0" borderId="18" xfId="0" applyNumberFormat="1" applyFont="1" applyBorder="1" applyAlignment="1">
      <alignment horizontal="center" vertical="center"/>
    </xf>
    <xf numFmtId="179" fontId="1" fillId="0" borderId="22" xfId="0" applyNumberFormat="1" applyFont="1" applyBorder="1" applyAlignment="1">
      <alignment horizontal="center" vertical="center"/>
    </xf>
    <xf numFmtId="174" fontId="1" fillId="0" borderId="11" xfId="0" applyNumberFormat="1" applyFont="1" applyBorder="1" applyAlignment="1">
      <alignment horizontal="right" vertical="center"/>
    </xf>
    <xf numFmtId="174" fontId="1" fillId="0" borderId="23" xfId="0" applyNumberFormat="1" applyFont="1" applyBorder="1" applyAlignment="1">
      <alignment horizontal="right" vertical="center"/>
    </xf>
    <xf numFmtId="174" fontId="1" fillId="0" borderId="12" xfId="0" applyNumberFormat="1" applyFont="1" applyBorder="1" applyAlignment="1">
      <alignment horizontal="right" vertical="center"/>
    </xf>
    <xf numFmtId="174" fontId="1" fillId="0" borderId="10" xfId="0" applyNumberFormat="1" applyFont="1" applyFill="1" applyBorder="1" applyAlignment="1">
      <alignment horizontal="right" vertical="center"/>
    </xf>
    <xf numFmtId="174" fontId="1" fillId="0" borderId="15" xfId="0" applyNumberFormat="1" applyFont="1" applyFill="1" applyBorder="1" applyAlignment="1">
      <alignment horizontal="right" vertical="center"/>
    </xf>
    <xf numFmtId="174" fontId="1" fillId="0" borderId="21" xfId="0" applyNumberFormat="1" applyFont="1" applyFill="1" applyBorder="1" applyAlignment="1">
      <alignment horizontal="right" vertical="center"/>
    </xf>
    <xf numFmtId="174" fontId="1" fillId="0" borderId="13" xfId="0" applyNumberFormat="1" applyFont="1" applyBorder="1" applyAlignment="1">
      <alignment horizontal="right" vertical="center"/>
    </xf>
    <xf numFmtId="174" fontId="1" fillId="0" borderId="0" xfId="0" applyNumberFormat="1" applyFont="1" applyBorder="1" applyAlignment="1">
      <alignment horizontal="right" vertical="center"/>
    </xf>
    <xf numFmtId="174" fontId="1" fillId="0" borderId="24" xfId="0" applyNumberFormat="1" applyFont="1" applyBorder="1" applyAlignment="1">
      <alignment horizontal="right" vertical="center"/>
    </xf>
    <xf numFmtId="174" fontId="1" fillId="0" borderId="13" xfId="0" applyNumberFormat="1" applyFont="1" applyFill="1" applyBorder="1" applyAlignment="1">
      <alignment horizontal="right" vertical="center"/>
    </xf>
    <xf numFmtId="174" fontId="1" fillId="0" borderId="0" xfId="0" applyNumberFormat="1" applyFont="1" applyFill="1" applyBorder="1" applyAlignment="1">
      <alignment horizontal="right" vertical="center"/>
    </xf>
    <xf numFmtId="174" fontId="1" fillId="0" borderId="24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97" fontId="1" fillId="0" borderId="17" xfId="0" applyNumberFormat="1" applyFont="1" applyBorder="1" applyAlignment="1">
      <alignment horizontal="right" vertical="center"/>
    </xf>
    <xf numFmtId="197" fontId="1" fillId="0" borderId="18" xfId="0" applyNumberFormat="1" applyFont="1" applyBorder="1" applyAlignment="1">
      <alignment horizontal="right" vertical="center"/>
    </xf>
    <xf numFmtId="197" fontId="1" fillId="0" borderId="22" xfId="0" applyNumberFormat="1" applyFont="1" applyBorder="1" applyAlignment="1">
      <alignment horizontal="right" vertical="center"/>
    </xf>
    <xf numFmtId="196" fontId="1" fillId="0" borderId="17" xfId="0" applyNumberFormat="1" applyFont="1" applyBorder="1" applyAlignment="1">
      <alignment horizontal="center" vertical="center"/>
    </xf>
    <xf numFmtId="196" fontId="1" fillId="0" borderId="18" xfId="0" applyNumberFormat="1" applyFont="1" applyBorder="1" applyAlignment="1">
      <alignment horizontal="center" vertical="center"/>
    </xf>
    <xf numFmtId="196" fontId="1" fillId="0" borderId="22" xfId="0" applyNumberFormat="1" applyFont="1" applyBorder="1" applyAlignment="1">
      <alignment horizontal="center" vertical="center"/>
    </xf>
    <xf numFmtId="197" fontId="1" fillId="0" borderId="11" xfId="0" applyNumberFormat="1" applyFont="1" applyBorder="1" applyAlignment="1">
      <alignment horizontal="right" vertical="center"/>
    </xf>
    <xf numFmtId="197" fontId="1" fillId="0" borderId="23" xfId="0" applyNumberFormat="1" applyFont="1" applyBorder="1" applyAlignment="1">
      <alignment horizontal="right" vertical="center"/>
    </xf>
    <xf numFmtId="197" fontId="1" fillId="0" borderId="12" xfId="0" applyNumberFormat="1" applyFont="1" applyBorder="1" applyAlignment="1">
      <alignment horizontal="right" vertical="center"/>
    </xf>
    <xf numFmtId="195" fontId="1" fillId="0" borderId="11" xfId="0" applyNumberFormat="1" applyFont="1" applyBorder="1" applyAlignment="1">
      <alignment horizontal="left" vertical="center"/>
    </xf>
    <xf numFmtId="195" fontId="1" fillId="0" borderId="12" xfId="0" applyNumberFormat="1" applyFont="1" applyBorder="1" applyAlignment="1">
      <alignment horizontal="left" vertical="center"/>
    </xf>
    <xf numFmtId="196" fontId="1" fillId="0" borderId="11" xfId="0" applyNumberFormat="1" applyFont="1" applyBorder="1" applyAlignment="1">
      <alignment horizontal="right" vertical="center"/>
    </xf>
    <xf numFmtId="196" fontId="1" fillId="0" borderId="23" xfId="0" applyNumberFormat="1" applyFont="1" applyBorder="1" applyAlignment="1">
      <alignment horizontal="right" vertical="center"/>
    </xf>
    <xf numFmtId="196" fontId="1" fillId="0" borderId="12" xfId="0" applyNumberFormat="1" applyFont="1" applyBorder="1" applyAlignment="1">
      <alignment horizontal="right" vertical="center"/>
    </xf>
    <xf numFmtId="197" fontId="1" fillId="0" borderId="17" xfId="0" applyNumberFormat="1" applyFont="1" applyFill="1" applyBorder="1" applyAlignment="1">
      <alignment horizontal="right" vertical="center"/>
    </xf>
    <xf numFmtId="197" fontId="1" fillId="0" borderId="18" xfId="0" applyNumberFormat="1" applyFont="1" applyFill="1" applyBorder="1" applyAlignment="1">
      <alignment horizontal="right" vertical="center"/>
    </xf>
    <xf numFmtId="197" fontId="1" fillId="0" borderId="22" xfId="0" applyNumberFormat="1" applyFont="1" applyFill="1" applyBorder="1" applyAlignment="1">
      <alignment horizontal="right" vertical="center"/>
    </xf>
    <xf numFmtId="197" fontId="1" fillId="0" borderId="10" xfId="0" applyNumberFormat="1" applyFont="1" applyBorder="1" applyAlignment="1">
      <alignment horizontal="right" vertical="center"/>
    </xf>
    <xf numFmtId="197" fontId="1" fillId="0" borderId="15" xfId="0" applyNumberFormat="1" applyFont="1" applyBorder="1" applyAlignment="1">
      <alignment horizontal="right" vertical="center"/>
    </xf>
    <xf numFmtId="197" fontId="1" fillId="0" borderId="21" xfId="0" applyNumberFormat="1" applyFont="1" applyBorder="1" applyAlignment="1">
      <alignment horizontal="right" vertical="center"/>
    </xf>
    <xf numFmtId="195" fontId="1" fillId="0" borderId="10" xfId="0" applyNumberFormat="1" applyFont="1" applyBorder="1" applyAlignment="1">
      <alignment horizontal="left" vertical="center"/>
    </xf>
    <xf numFmtId="195" fontId="1" fillId="0" borderId="21" xfId="0" applyNumberFormat="1" applyFont="1" applyBorder="1" applyAlignment="1">
      <alignment horizontal="left" vertical="center"/>
    </xf>
    <xf numFmtId="196" fontId="1" fillId="0" borderId="10" xfId="0" applyNumberFormat="1" applyFont="1" applyBorder="1" applyAlignment="1">
      <alignment horizontal="right" vertical="center"/>
    </xf>
    <xf numFmtId="196" fontId="1" fillId="0" borderId="15" xfId="0" applyNumberFormat="1" applyFont="1" applyBorder="1" applyAlignment="1">
      <alignment horizontal="right" vertical="center"/>
    </xf>
    <xf numFmtId="196" fontId="1" fillId="0" borderId="21" xfId="0" applyNumberFormat="1" applyFont="1" applyBorder="1" applyAlignment="1">
      <alignment horizontal="right" vertical="center"/>
    </xf>
    <xf numFmtId="197" fontId="1" fillId="0" borderId="13" xfId="0" applyNumberFormat="1" applyFont="1" applyBorder="1" applyAlignment="1">
      <alignment horizontal="right" vertical="center"/>
    </xf>
    <xf numFmtId="197" fontId="1" fillId="0" borderId="0" xfId="0" applyNumberFormat="1" applyFont="1" applyBorder="1" applyAlignment="1">
      <alignment horizontal="right" vertical="center"/>
    </xf>
    <xf numFmtId="197" fontId="1" fillId="0" borderId="24" xfId="0" applyNumberFormat="1" applyFont="1" applyBorder="1" applyAlignment="1">
      <alignment horizontal="right" vertical="center"/>
    </xf>
    <xf numFmtId="195" fontId="1" fillId="0" borderId="13" xfId="0" applyNumberFormat="1" applyFont="1" applyBorder="1" applyAlignment="1">
      <alignment horizontal="left" vertical="center"/>
    </xf>
    <xf numFmtId="195" fontId="1" fillId="0" borderId="24" xfId="0" applyNumberFormat="1" applyFont="1" applyBorder="1" applyAlignment="1">
      <alignment horizontal="left" vertical="center"/>
    </xf>
    <xf numFmtId="196" fontId="1" fillId="0" borderId="13" xfId="0" applyNumberFormat="1" applyFont="1" applyBorder="1" applyAlignment="1">
      <alignment horizontal="right" vertical="center"/>
    </xf>
    <xf numFmtId="196" fontId="1" fillId="0" borderId="0" xfId="0" applyNumberFormat="1" applyFont="1" applyBorder="1" applyAlignment="1">
      <alignment horizontal="right" vertical="center"/>
    </xf>
    <xf numFmtId="196" fontId="1" fillId="0" borderId="24" xfId="0" applyNumberFormat="1" applyFont="1" applyBorder="1" applyAlignment="1">
      <alignment horizontal="right" vertical="center"/>
    </xf>
    <xf numFmtId="196" fontId="1" fillId="0" borderId="13" xfId="0" applyNumberFormat="1" applyFont="1" applyBorder="1" applyAlignment="1">
      <alignment horizontal="center" vertical="center"/>
    </xf>
    <xf numFmtId="196" fontId="1" fillId="0" borderId="0" xfId="0" applyNumberFormat="1" applyFont="1" applyBorder="1" applyAlignment="1">
      <alignment horizontal="center" vertical="center"/>
    </xf>
    <xf numFmtId="196" fontId="1" fillId="0" borderId="24" xfId="0" applyNumberFormat="1" applyFont="1" applyBorder="1" applyAlignment="1">
      <alignment horizontal="center" vertical="center"/>
    </xf>
    <xf numFmtId="195" fontId="1" fillId="0" borderId="13" xfId="0" applyNumberFormat="1" applyFont="1" applyBorder="1" applyAlignment="1">
      <alignment horizontal="center" vertical="center"/>
    </xf>
    <xf numFmtId="195" fontId="1" fillId="0" borderId="24" xfId="0" applyNumberFormat="1" applyFont="1" applyBorder="1" applyAlignment="1">
      <alignment horizontal="center" vertical="center"/>
    </xf>
    <xf numFmtId="195" fontId="1" fillId="0" borderId="0" xfId="0" applyNumberFormat="1" applyFont="1" applyBorder="1" applyAlignment="1">
      <alignment horizontal="center" vertical="center"/>
    </xf>
    <xf numFmtId="197" fontId="1" fillId="0" borderId="10" xfId="0" applyNumberFormat="1" applyFont="1" applyBorder="1" applyAlignment="1">
      <alignment vertical="center"/>
    </xf>
    <xf numFmtId="197" fontId="1" fillId="0" borderId="15" xfId="0" applyNumberFormat="1" applyFont="1" applyBorder="1" applyAlignment="1">
      <alignment vertical="center"/>
    </xf>
    <xf numFmtId="197" fontId="1" fillId="0" borderId="21" xfId="0" applyNumberFormat="1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10" xfId="72" applyFont="1" applyBorder="1" applyAlignment="1">
      <alignment horizontal="center" vertical="center"/>
      <protection/>
    </xf>
    <xf numFmtId="0" fontId="1" fillId="0" borderId="13" xfId="72" applyFont="1" applyBorder="1" applyAlignment="1">
      <alignment horizontal="center" vertical="center"/>
      <protection/>
    </xf>
    <xf numFmtId="0" fontId="1" fillId="0" borderId="17" xfId="72" applyFont="1" applyBorder="1" applyAlignment="1">
      <alignment horizontal="center" vertical="center"/>
      <protection/>
    </xf>
    <xf numFmtId="0" fontId="1" fillId="0" borderId="16" xfId="72" applyFont="1" applyBorder="1" applyAlignment="1">
      <alignment horizontal="center" vertical="center"/>
      <protection/>
    </xf>
    <xf numFmtId="0" fontId="19" fillId="0" borderId="14" xfId="72" applyFont="1" applyBorder="1" applyAlignment="1">
      <alignment horizontal="center" vertical="center"/>
      <protection/>
    </xf>
    <xf numFmtId="0" fontId="19" fillId="0" borderId="19" xfId="72" applyFont="1" applyBorder="1" applyAlignment="1">
      <alignment horizontal="center" vertical="center"/>
      <protection/>
    </xf>
    <xf numFmtId="0" fontId="1" fillId="0" borderId="21" xfId="72" applyFont="1" applyBorder="1" applyAlignment="1">
      <alignment horizontal="center" vertical="center"/>
      <protection/>
    </xf>
    <xf numFmtId="0" fontId="1" fillId="0" borderId="22" xfId="72" applyFont="1" applyBorder="1" applyAlignment="1">
      <alignment horizontal="center" vertical="center"/>
      <protection/>
    </xf>
    <xf numFmtId="0" fontId="1" fillId="0" borderId="14" xfId="72" applyFont="1" applyBorder="1" applyAlignment="1">
      <alignment horizontal="center" vertical="center"/>
      <protection/>
    </xf>
    <xf numFmtId="0" fontId="1" fillId="0" borderId="19" xfId="72" applyFont="1" applyBorder="1" applyAlignment="1">
      <alignment horizontal="center" vertical="center"/>
      <protection/>
    </xf>
    <xf numFmtId="0" fontId="1" fillId="0" borderId="10" xfId="73" applyFont="1" applyBorder="1" applyAlignment="1">
      <alignment horizontal="center" vertical="center"/>
      <protection/>
    </xf>
    <xf numFmtId="0" fontId="1" fillId="0" borderId="13" xfId="73" applyFont="1" applyBorder="1" applyAlignment="1">
      <alignment horizontal="center" vertical="center"/>
      <protection/>
    </xf>
    <xf numFmtId="0" fontId="1" fillId="0" borderId="17" xfId="73" applyFont="1" applyBorder="1" applyAlignment="1">
      <alignment horizontal="center" vertical="center"/>
      <protection/>
    </xf>
    <xf numFmtId="0" fontId="1" fillId="0" borderId="10" xfId="73" applyFont="1" applyBorder="1" applyAlignment="1">
      <alignment horizontal="center" vertical="center" wrapText="1"/>
      <protection/>
    </xf>
    <xf numFmtId="0" fontId="1" fillId="0" borderId="15" xfId="73" applyFont="1" applyBorder="1" applyAlignment="1">
      <alignment horizontal="center" vertical="center" wrapText="1"/>
      <protection/>
    </xf>
    <xf numFmtId="0" fontId="1" fillId="0" borderId="21" xfId="73" applyFont="1" applyBorder="1" applyAlignment="1">
      <alignment horizontal="center" vertical="center" wrapText="1"/>
      <protection/>
    </xf>
    <xf numFmtId="0" fontId="1" fillId="0" borderId="17" xfId="73" applyFont="1" applyBorder="1" applyAlignment="1">
      <alignment horizontal="center" vertical="center" wrapText="1"/>
      <protection/>
    </xf>
    <xf numFmtId="0" fontId="1" fillId="0" borderId="18" xfId="73" applyFont="1" applyBorder="1" applyAlignment="1">
      <alignment horizontal="center" vertical="center" wrapText="1"/>
      <protection/>
    </xf>
    <xf numFmtId="0" fontId="1" fillId="0" borderId="22" xfId="73" applyFont="1" applyBorder="1" applyAlignment="1">
      <alignment horizontal="center" vertical="center" wrapText="1"/>
      <protection/>
    </xf>
    <xf numFmtId="0" fontId="1" fillId="0" borderId="11" xfId="73" applyFont="1" applyBorder="1" applyAlignment="1">
      <alignment horizontal="center" vertical="center" wrapText="1"/>
      <protection/>
    </xf>
    <xf numFmtId="0" fontId="1" fillId="0" borderId="23" xfId="73" applyFont="1" applyBorder="1" applyAlignment="1">
      <alignment horizontal="center" vertical="center" wrapText="1"/>
      <protection/>
    </xf>
    <xf numFmtId="0" fontId="1" fillId="0" borderId="12" xfId="73" applyFont="1" applyBorder="1" applyAlignment="1">
      <alignment horizontal="center" vertical="center" wrapText="1"/>
      <protection/>
    </xf>
    <xf numFmtId="0" fontId="1" fillId="0" borderId="16" xfId="73" applyFont="1" applyBorder="1" applyAlignment="1">
      <alignment horizontal="center" vertical="center"/>
      <protection/>
    </xf>
    <xf numFmtId="0" fontId="1" fillId="0" borderId="14" xfId="73" applyFont="1" applyBorder="1" applyAlignment="1">
      <alignment horizontal="center" vertical="center"/>
      <protection/>
    </xf>
    <xf numFmtId="0" fontId="1" fillId="0" borderId="19" xfId="73" applyFont="1" applyBorder="1" applyAlignment="1">
      <alignment horizontal="center" vertical="center"/>
      <protection/>
    </xf>
    <xf numFmtId="0" fontId="12" fillId="0" borderId="10" xfId="73" applyFont="1" applyBorder="1" applyAlignment="1">
      <alignment horizontal="center" vertical="center" wrapText="1"/>
      <protection/>
    </xf>
    <xf numFmtId="0" fontId="12" fillId="0" borderId="15" xfId="73" applyFont="1" applyBorder="1" applyAlignment="1">
      <alignment horizontal="center" vertical="center" wrapText="1"/>
      <protection/>
    </xf>
    <xf numFmtId="0" fontId="12" fillId="0" borderId="21" xfId="73" applyFont="1" applyBorder="1" applyAlignment="1">
      <alignment horizontal="center" vertical="center" wrapText="1"/>
      <protection/>
    </xf>
    <xf numFmtId="0" fontId="12" fillId="0" borderId="17" xfId="73" applyFont="1" applyBorder="1" applyAlignment="1">
      <alignment horizontal="center" vertical="center" wrapText="1"/>
      <protection/>
    </xf>
    <xf numFmtId="0" fontId="12" fillId="0" borderId="18" xfId="73" applyFont="1" applyBorder="1" applyAlignment="1">
      <alignment horizontal="center" vertical="center" wrapText="1"/>
      <protection/>
    </xf>
    <xf numFmtId="0" fontId="12" fillId="0" borderId="22" xfId="73" applyFont="1" applyBorder="1" applyAlignment="1">
      <alignment horizontal="center" vertical="center" wrapText="1"/>
      <protection/>
    </xf>
    <xf numFmtId="0" fontId="12" fillId="0" borderId="11" xfId="73" applyFont="1" applyBorder="1" applyAlignment="1">
      <alignment horizontal="center" vertical="center" wrapText="1"/>
      <protection/>
    </xf>
    <xf numFmtId="0" fontId="12" fillId="0" borderId="23" xfId="73" applyFont="1" applyBorder="1" applyAlignment="1">
      <alignment horizontal="center" vertical="center" wrapText="1"/>
      <protection/>
    </xf>
    <xf numFmtId="0" fontId="12" fillId="0" borderId="12" xfId="73" applyFont="1" applyBorder="1" applyAlignment="1">
      <alignment horizontal="center" vertical="center" wrapText="1"/>
      <protection/>
    </xf>
    <xf numFmtId="0" fontId="1" fillId="0" borderId="16" xfId="75" applyFont="1" applyBorder="1" applyAlignment="1">
      <alignment horizontal="center" vertical="center" wrapText="1"/>
      <protection/>
    </xf>
    <xf numFmtId="0" fontId="1" fillId="0" borderId="19" xfId="75" applyFont="1" applyBorder="1" applyAlignment="1">
      <alignment horizontal="center" vertical="center" wrapText="1"/>
      <protection/>
    </xf>
    <xf numFmtId="0" fontId="1" fillId="0" borderId="21" xfId="75" applyFont="1" applyBorder="1" applyAlignment="1">
      <alignment horizontal="center" vertical="center" wrapText="1"/>
      <protection/>
    </xf>
    <xf numFmtId="0" fontId="1" fillId="0" borderId="22" xfId="75" applyFont="1" applyBorder="1" applyAlignment="1">
      <alignment horizontal="center" vertical="center" wrapText="1"/>
      <protection/>
    </xf>
    <xf numFmtId="0" fontId="1" fillId="0" borderId="11" xfId="76" applyFont="1" applyBorder="1" applyAlignment="1">
      <alignment horizontal="center"/>
      <protection/>
    </xf>
    <xf numFmtId="0" fontId="1" fillId="0" borderId="23" xfId="76" applyFont="1" applyBorder="1" applyAlignment="1">
      <alignment horizontal="center"/>
      <protection/>
    </xf>
    <xf numFmtId="0" fontId="1" fillId="0" borderId="12" xfId="76" applyFont="1" applyBorder="1" applyAlignment="1">
      <alignment horizontal="center"/>
      <protection/>
    </xf>
    <xf numFmtId="0" fontId="1" fillId="0" borderId="10" xfId="76" applyFont="1" applyBorder="1" applyAlignment="1">
      <alignment horizontal="center" vertical="center"/>
      <protection/>
    </xf>
    <xf numFmtId="0" fontId="1" fillId="0" borderId="15" xfId="76" applyFont="1" applyBorder="1" applyAlignment="1">
      <alignment horizontal="center" vertical="center"/>
      <protection/>
    </xf>
    <xf numFmtId="0" fontId="1" fillId="0" borderId="21" xfId="76" applyFont="1" applyBorder="1" applyAlignment="1">
      <alignment horizontal="center" vertical="center"/>
      <protection/>
    </xf>
    <xf numFmtId="0" fontId="1" fillId="0" borderId="17" xfId="76" applyFont="1" applyBorder="1" applyAlignment="1">
      <alignment horizontal="center" vertical="center"/>
      <protection/>
    </xf>
    <xf numFmtId="0" fontId="1" fillId="0" borderId="18" xfId="76" applyFont="1" applyBorder="1" applyAlignment="1">
      <alignment horizontal="center" vertical="center"/>
      <protection/>
    </xf>
    <xf numFmtId="0" fontId="1" fillId="0" borderId="22" xfId="76" applyFont="1" applyBorder="1" applyAlignment="1">
      <alignment horizontal="center" vertical="center"/>
      <protection/>
    </xf>
    <xf numFmtId="0" fontId="1" fillId="0" borderId="10" xfId="77" applyFont="1" applyBorder="1" applyAlignment="1">
      <alignment horizontal="center" vertical="center" wrapText="1"/>
      <protection/>
    </xf>
    <xf numFmtId="0" fontId="1" fillId="0" borderId="15" xfId="77" applyFont="1" applyBorder="1" applyAlignment="1">
      <alignment horizontal="center" vertical="center" wrapText="1"/>
      <protection/>
    </xf>
    <xf numFmtId="0" fontId="1" fillId="0" borderId="21" xfId="77" applyFont="1" applyBorder="1" applyAlignment="1">
      <alignment horizontal="center" vertical="center" wrapText="1"/>
      <protection/>
    </xf>
    <xf numFmtId="0" fontId="1" fillId="0" borderId="17" xfId="77" applyFont="1" applyBorder="1" applyAlignment="1">
      <alignment horizontal="center" vertical="center" wrapText="1"/>
      <protection/>
    </xf>
    <xf numFmtId="0" fontId="1" fillId="0" borderId="18" xfId="77" applyFont="1" applyBorder="1" applyAlignment="1">
      <alignment horizontal="center" vertical="center" wrapText="1"/>
      <protection/>
    </xf>
    <xf numFmtId="0" fontId="1" fillId="0" borderId="22" xfId="77" applyFont="1" applyBorder="1" applyAlignment="1">
      <alignment horizontal="center" vertical="center" wrapText="1"/>
      <protection/>
    </xf>
    <xf numFmtId="0" fontId="1" fillId="0" borderId="11" xfId="77" applyFont="1" applyBorder="1" applyAlignment="1">
      <alignment horizontal="center"/>
      <protection/>
    </xf>
    <xf numFmtId="0" fontId="1" fillId="0" borderId="23" xfId="77" applyFont="1" applyBorder="1" applyAlignment="1">
      <alignment horizontal="center"/>
      <protection/>
    </xf>
    <xf numFmtId="0" fontId="1" fillId="0" borderId="12" xfId="77" applyFont="1" applyBorder="1" applyAlignment="1">
      <alignment horizontal="center"/>
      <protection/>
    </xf>
    <xf numFmtId="0" fontId="12" fillId="0" borderId="95" xfId="66" applyFont="1" applyBorder="1" applyAlignment="1">
      <alignment horizontal="center" vertical="center"/>
      <protection/>
    </xf>
    <xf numFmtId="0" fontId="16" fillId="0" borderId="41" xfId="66" applyBorder="1" applyAlignment="1">
      <alignment horizontal="center" vertical="center"/>
      <protection/>
    </xf>
    <xf numFmtId="0" fontId="16" fillId="0" borderId="42" xfId="66" applyBorder="1" applyAlignment="1">
      <alignment horizontal="center" vertical="center"/>
      <protection/>
    </xf>
    <xf numFmtId="0" fontId="16" fillId="0" borderId="44" xfId="66" applyBorder="1" applyAlignment="1">
      <alignment horizontal="center" vertical="center"/>
      <protection/>
    </xf>
    <xf numFmtId="0" fontId="16" fillId="0" borderId="0" xfId="66" applyBorder="1" applyAlignment="1">
      <alignment horizontal="center" vertical="center"/>
      <protection/>
    </xf>
    <xf numFmtId="0" fontId="16" fillId="0" borderId="45" xfId="66" applyBorder="1" applyAlignment="1">
      <alignment horizontal="center" vertical="center"/>
      <protection/>
    </xf>
    <xf numFmtId="0" fontId="1" fillId="0" borderId="96" xfId="66" applyFont="1" applyBorder="1" applyAlignment="1">
      <alignment horizontal="center"/>
      <protection/>
    </xf>
    <xf numFmtId="0" fontId="1" fillId="0" borderId="97" xfId="66" applyFont="1" applyBorder="1" applyAlignment="1">
      <alignment horizontal="center"/>
      <protection/>
    </xf>
    <xf numFmtId="0" fontId="1" fillId="0" borderId="98" xfId="66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" fillId="0" borderId="13" xfId="0" applyFont="1" applyBorder="1" applyAlignment="1">
      <alignment/>
    </xf>
    <xf numFmtId="0" fontId="5" fillId="0" borderId="24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2" fillId="0" borderId="0" xfId="0" applyFont="1" applyFill="1" applyAlignment="1">
      <alignment horizontal="left" wrapText="1"/>
    </xf>
    <xf numFmtId="0" fontId="1" fillId="0" borderId="16" xfId="67" applyFont="1" applyBorder="1" applyAlignment="1">
      <alignment horizontal="center" vertical="center" wrapText="1"/>
      <protection/>
    </xf>
    <xf numFmtId="0" fontId="1" fillId="0" borderId="19" xfId="67" applyFont="1" applyBorder="1" applyAlignment="1">
      <alignment horizontal="center" vertical="center" wrapText="1"/>
      <protection/>
    </xf>
    <xf numFmtId="0" fontId="1" fillId="0" borderId="11" xfId="68" applyFont="1" applyBorder="1" applyAlignment="1">
      <alignment horizontal="center" vertical="center"/>
      <protection/>
    </xf>
    <xf numFmtId="0" fontId="1" fillId="0" borderId="23" xfId="68" applyFont="1" applyBorder="1" applyAlignment="1">
      <alignment horizontal="center" vertical="center"/>
      <protection/>
    </xf>
    <xf numFmtId="0" fontId="1" fillId="0" borderId="12" xfId="68" applyFont="1" applyBorder="1" applyAlignment="1">
      <alignment horizontal="center" vertical="center"/>
      <protection/>
    </xf>
    <xf numFmtId="0" fontId="3" fillId="0" borderId="11" xfId="68" applyFont="1" applyBorder="1" applyAlignment="1">
      <alignment horizontal="center" vertical="center"/>
      <protection/>
    </xf>
    <xf numFmtId="0" fontId="3" fillId="0" borderId="23" xfId="68" applyFont="1" applyBorder="1" applyAlignment="1">
      <alignment horizontal="center" vertical="center"/>
      <protection/>
    </xf>
    <xf numFmtId="0" fontId="3" fillId="0" borderId="12" xfId="68" applyFont="1" applyBorder="1" applyAlignment="1">
      <alignment horizontal="center" vertical="center"/>
      <protection/>
    </xf>
    <xf numFmtId="0" fontId="1" fillId="0" borderId="10" xfId="68" applyFont="1" applyBorder="1" applyAlignment="1">
      <alignment horizontal="center" vertical="center" wrapText="1"/>
      <protection/>
    </xf>
    <xf numFmtId="0" fontId="1" fillId="0" borderId="15" xfId="68" applyFont="1" applyBorder="1" applyAlignment="1">
      <alignment horizontal="center" vertical="center" wrapText="1"/>
      <protection/>
    </xf>
    <xf numFmtId="0" fontId="1" fillId="0" borderId="21" xfId="68" applyFont="1" applyBorder="1" applyAlignment="1">
      <alignment horizontal="center" vertical="center" wrapText="1"/>
      <protection/>
    </xf>
    <xf numFmtId="0" fontId="1" fillId="0" borderId="17" xfId="68" applyFont="1" applyBorder="1" applyAlignment="1">
      <alignment horizontal="center" vertical="center" wrapText="1"/>
      <protection/>
    </xf>
    <xf numFmtId="0" fontId="1" fillId="0" borderId="18" xfId="68" applyFont="1" applyBorder="1" applyAlignment="1">
      <alignment horizontal="center" vertical="center" wrapText="1"/>
      <protection/>
    </xf>
    <xf numFmtId="0" fontId="1" fillId="0" borderId="22" xfId="68" applyFont="1" applyBorder="1" applyAlignment="1">
      <alignment horizontal="center" vertical="center" wrapText="1"/>
      <protection/>
    </xf>
    <xf numFmtId="0" fontId="3" fillId="0" borderId="11" xfId="69" applyFont="1" applyBorder="1" applyAlignment="1">
      <alignment horizontal="center" vertical="center"/>
      <protection/>
    </xf>
    <xf numFmtId="0" fontId="3" fillId="0" borderId="23" xfId="69" applyFont="1" applyBorder="1" applyAlignment="1">
      <alignment horizontal="center" vertical="center"/>
      <protection/>
    </xf>
    <xf numFmtId="0" fontId="3" fillId="0" borderId="12" xfId="69" applyFont="1" applyBorder="1" applyAlignment="1">
      <alignment horizontal="center" vertical="center"/>
      <protection/>
    </xf>
    <xf numFmtId="0" fontId="3" fillId="0" borderId="0" xfId="69" applyFont="1" applyAlignment="1">
      <alignment horizontal="left"/>
      <protection/>
    </xf>
    <xf numFmtId="0" fontId="1" fillId="0" borderId="10" xfId="69" applyFont="1" applyBorder="1" applyAlignment="1">
      <alignment horizontal="center" vertical="center" wrapText="1"/>
      <protection/>
    </xf>
    <xf numFmtId="0" fontId="1" fillId="0" borderId="15" xfId="69" applyFont="1" applyBorder="1" applyAlignment="1">
      <alignment horizontal="center" vertical="center" wrapText="1"/>
      <protection/>
    </xf>
    <xf numFmtId="0" fontId="1" fillId="0" borderId="21" xfId="69" applyFont="1" applyBorder="1" applyAlignment="1">
      <alignment horizontal="center" vertical="center" wrapText="1"/>
      <protection/>
    </xf>
    <xf numFmtId="0" fontId="1" fillId="0" borderId="17" xfId="69" applyFont="1" applyBorder="1" applyAlignment="1">
      <alignment horizontal="center" vertical="center" wrapText="1"/>
      <protection/>
    </xf>
    <xf numFmtId="0" fontId="1" fillId="0" borderId="18" xfId="69" applyFont="1" applyBorder="1" applyAlignment="1">
      <alignment horizontal="center" vertical="center" wrapText="1"/>
      <protection/>
    </xf>
    <xf numFmtId="0" fontId="1" fillId="0" borderId="22" xfId="69" applyFont="1" applyBorder="1" applyAlignment="1">
      <alignment horizontal="center" vertical="center" wrapText="1"/>
      <protection/>
    </xf>
    <xf numFmtId="0" fontId="1" fillId="0" borderId="11" xfId="69" applyFont="1" applyBorder="1" applyAlignment="1">
      <alignment horizontal="center" vertical="center"/>
      <protection/>
    </xf>
    <xf numFmtId="0" fontId="1" fillId="0" borderId="23" xfId="69" applyFont="1" applyBorder="1" applyAlignment="1">
      <alignment horizontal="center" vertical="center"/>
      <protection/>
    </xf>
    <xf numFmtId="0" fontId="1" fillId="0" borderId="12" xfId="69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" fillId="0" borderId="11" xfId="63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0" fontId="1" fillId="0" borderId="11" xfId="63" applyFont="1" applyBorder="1" applyAlignment="1">
      <alignment horizontal="center" vertical="center"/>
      <protection/>
    </xf>
    <xf numFmtId="0" fontId="1" fillId="0" borderId="23" xfId="63" applyFont="1" applyBorder="1" applyAlignment="1">
      <alignment horizontal="center" vertical="center"/>
      <protection/>
    </xf>
    <xf numFmtId="0" fontId="1" fillId="0" borderId="12" xfId="63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left"/>
      <protection/>
    </xf>
    <xf numFmtId="0" fontId="4" fillId="0" borderId="23" xfId="64" applyFont="1" applyBorder="1" applyAlignment="1">
      <alignment horizontal="left"/>
      <protection/>
    </xf>
    <xf numFmtId="0" fontId="4" fillId="0" borderId="12" xfId="64" applyFont="1" applyBorder="1" applyAlignment="1">
      <alignment horizontal="left"/>
      <protection/>
    </xf>
    <xf numFmtId="0" fontId="1" fillId="0" borderId="11" xfId="64" applyFont="1" applyBorder="1" applyAlignment="1">
      <alignment horizontal="center"/>
      <protection/>
    </xf>
    <xf numFmtId="0" fontId="1" fillId="0" borderId="23" xfId="64" applyFont="1" applyBorder="1" applyAlignment="1">
      <alignment horizontal="center"/>
      <protection/>
    </xf>
    <xf numFmtId="0" fontId="1" fillId="0" borderId="12" xfId="64" applyFont="1" applyBorder="1" applyAlignment="1">
      <alignment horizontal="center"/>
      <protection/>
    </xf>
    <xf numFmtId="0" fontId="1" fillId="0" borderId="11" xfId="64" applyFont="1" applyBorder="1" applyAlignment="1">
      <alignment horizontal="center" vertical="center"/>
      <protection/>
    </xf>
    <xf numFmtId="0" fontId="1" fillId="0" borderId="23" xfId="64" applyFont="1" applyBorder="1" applyAlignment="1">
      <alignment horizontal="center" vertical="center"/>
      <protection/>
    </xf>
    <xf numFmtId="0" fontId="1" fillId="0" borderId="12" xfId="64" applyFont="1" applyBorder="1" applyAlignment="1">
      <alignment horizontal="center" vertical="center"/>
      <protection/>
    </xf>
    <xf numFmtId="0" fontId="1" fillId="0" borderId="11" xfId="70" applyFont="1" applyBorder="1" applyAlignment="1">
      <alignment horizontal="center" vertical="center"/>
      <protection/>
    </xf>
    <xf numFmtId="0" fontId="1" fillId="0" borderId="23" xfId="70" applyFont="1" applyBorder="1" applyAlignment="1">
      <alignment horizontal="center" vertical="center"/>
      <protection/>
    </xf>
    <xf numFmtId="0" fontId="1" fillId="0" borderId="12" xfId="70" applyFont="1" applyBorder="1" applyAlignment="1">
      <alignment horizontal="center" vertical="center"/>
      <protection/>
    </xf>
    <xf numFmtId="0" fontId="1" fillId="0" borderId="10" xfId="70" applyFont="1" applyBorder="1" applyAlignment="1">
      <alignment horizontal="center" vertical="center"/>
      <protection/>
    </xf>
    <xf numFmtId="0" fontId="1" fillId="0" borderId="15" xfId="70" applyFont="1" applyBorder="1" applyAlignment="1">
      <alignment horizontal="center" vertical="center"/>
      <protection/>
    </xf>
    <xf numFmtId="0" fontId="1" fillId="0" borderId="21" xfId="70" applyFont="1" applyBorder="1" applyAlignment="1">
      <alignment horizontal="center" vertical="center"/>
      <protection/>
    </xf>
    <xf numFmtId="0" fontId="1" fillId="0" borderId="17" xfId="70" applyFont="1" applyBorder="1" applyAlignment="1">
      <alignment horizontal="center" vertical="center"/>
      <protection/>
    </xf>
    <xf numFmtId="0" fontId="1" fillId="0" borderId="18" xfId="70" applyFont="1" applyBorder="1" applyAlignment="1">
      <alignment horizontal="center" vertical="center"/>
      <protection/>
    </xf>
    <xf numFmtId="0" fontId="1" fillId="0" borderId="22" xfId="70" applyFont="1" applyBorder="1" applyAlignment="1">
      <alignment horizontal="center" vertical="center"/>
      <protection/>
    </xf>
    <xf numFmtId="0" fontId="1" fillId="0" borderId="96" xfId="65" applyFont="1" applyBorder="1" applyAlignment="1">
      <alignment horizontal="center" vertical="center"/>
      <protection/>
    </xf>
    <xf numFmtId="0" fontId="1" fillId="0" borderId="97" xfId="65" applyFont="1" applyBorder="1" applyAlignment="1">
      <alignment horizontal="center" vertical="center"/>
      <protection/>
    </xf>
    <xf numFmtId="0" fontId="1" fillId="0" borderId="98" xfId="65" applyFont="1" applyBorder="1" applyAlignment="1">
      <alignment horizontal="center" vertical="center"/>
      <protection/>
    </xf>
    <xf numFmtId="0" fontId="4" fillId="0" borderId="99" xfId="65" applyFont="1" applyBorder="1" applyAlignment="1">
      <alignment horizontal="center" vertical="center" wrapText="1"/>
      <protection/>
    </xf>
    <xf numFmtId="0" fontId="4" fillId="0" borderId="23" xfId="65" applyFont="1" applyBorder="1" applyAlignment="1">
      <alignment horizontal="center" vertical="center" wrapText="1"/>
      <protection/>
    </xf>
    <xf numFmtId="0" fontId="4" fillId="0" borderId="43" xfId="65" applyFont="1" applyBorder="1" applyAlignment="1">
      <alignment horizontal="center" vertical="center" wrapText="1"/>
      <protection/>
    </xf>
    <xf numFmtId="0" fontId="4" fillId="0" borderId="44" xfId="65" applyFont="1" applyBorder="1" applyAlignment="1">
      <alignment horizontal="left" vertical="center" wrapText="1"/>
      <protection/>
    </xf>
    <xf numFmtId="0" fontId="4" fillId="0" borderId="0" xfId="65" applyFont="1" applyBorder="1" applyAlignment="1">
      <alignment horizontal="left" vertical="center" wrapText="1"/>
      <protection/>
    </xf>
    <xf numFmtId="0" fontId="13" fillId="0" borderId="95" xfId="65" applyFont="1" applyBorder="1" applyAlignment="1">
      <alignment horizontal="center" vertical="center" wrapText="1"/>
      <protection/>
    </xf>
    <xf numFmtId="0" fontId="13" fillId="0" borderId="41" xfId="65" applyFont="1" applyBorder="1" applyAlignment="1">
      <alignment horizontal="center" vertical="center" wrapText="1"/>
      <protection/>
    </xf>
    <xf numFmtId="0" fontId="13" fillId="0" borderId="42" xfId="65" applyFont="1" applyBorder="1" applyAlignment="1">
      <alignment horizontal="center" vertical="center" wrapText="1"/>
      <protection/>
    </xf>
    <xf numFmtId="0" fontId="13" fillId="0" borderId="47" xfId="65" applyFont="1" applyBorder="1" applyAlignment="1">
      <alignment horizontal="center" vertical="center" wrapText="1"/>
      <protection/>
    </xf>
    <xf numFmtId="0" fontId="13" fillId="0" borderId="18" xfId="65" applyFont="1" applyBorder="1" applyAlignment="1">
      <alignment horizontal="center" vertical="center" wrapText="1"/>
      <protection/>
    </xf>
    <xf numFmtId="0" fontId="13" fillId="0" borderId="48" xfId="65" applyFont="1" applyBorder="1" applyAlignment="1">
      <alignment horizontal="center" vertical="center" wrapText="1"/>
      <protection/>
    </xf>
    <xf numFmtId="0" fontId="12" fillId="0" borderId="96" xfId="65" applyFont="1" applyBorder="1" applyAlignment="1">
      <alignment horizontal="center" vertical="center"/>
      <protection/>
    </xf>
    <xf numFmtId="0" fontId="12" fillId="0" borderId="97" xfId="65" applyFont="1" applyBorder="1" applyAlignment="1">
      <alignment horizontal="center" vertical="center"/>
      <protection/>
    </xf>
    <xf numFmtId="0" fontId="12" fillId="0" borderId="98" xfId="65" applyFont="1" applyBorder="1" applyAlignment="1">
      <alignment horizontal="center" vertical="center"/>
      <protection/>
    </xf>
    <xf numFmtId="0" fontId="4" fillId="0" borderId="99" xfId="65" applyFont="1" applyBorder="1" applyAlignment="1">
      <alignment horizontal="center" vertical="center"/>
      <protection/>
    </xf>
    <xf numFmtId="0" fontId="4" fillId="0" borderId="23" xfId="65" applyFont="1" applyBorder="1" applyAlignment="1">
      <alignment horizontal="center" vertical="center"/>
      <protection/>
    </xf>
    <xf numFmtId="0" fontId="4" fillId="0" borderId="43" xfId="65" applyFont="1" applyBorder="1" applyAlignment="1">
      <alignment horizontal="center" vertical="center"/>
      <protection/>
    </xf>
    <xf numFmtId="0" fontId="1" fillId="0" borderId="100" xfId="65" applyFont="1" applyBorder="1" applyAlignment="1">
      <alignment horizontal="center" vertical="center"/>
      <protection/>
    </xf>
    <xf numFmtId="0" fontId="3" fillId="0" borderId="99" xfId="65" applyFont="1" applyBorder="1" applyAlignment="1">
      <alignment horizontal="center" vertical="center"/>
      <protection/>
    </xf>
    <xf numFmtId="0" fontId="3" fillId="0" borderId="23" xfId="65" applyFont="1" applyBorder="1" applyAlignment="1">
      <alignment horizontal="center" vertical="center"/>
      <protection/>
    </xf>
    <xf numFmtId="0" fontId="3" fillId="0" borderId="43" xfId="65" applyFont="1" applyBorder="1" applyAlignment="1">
      <alignment horizontal="center" vertical="center"/>
      <protection/>
    </xf>
    <xf numFmtId="0" fontId="1" fillId="0" borderId="101" xfId="65" applyFont="1" applyBorder="1" applyAlignment="1">
      <alignment horizontal="center" vertical="center"/>
      <protection/>
    </xf>
    <xf numFmtId="0" fontId="12" fillId="0" borderId="16" xfId="74" applyFont="1" applyBorder="1" applyAlignment="1">
      <alignment horizontal="center" vertical="center"/>
      <protection/>
    </xf>
    <xf numFmtId="0" fontId="12" fillId="0" borderId="14" xfId="74" applyFont="1" applyBorder="1" applyAlignment="1">
      <alignment horizontal="center" vertical="center"/>
      <protection/>
    </xf>
    <xf numFmtId="0" fontId="12" fillId="0" borderId="19" xfId="74" applyFont="1" applyBorder="1" applyAlignment="1">
      <alignment horizontal="center" vertical="center"/>
      <protection/>
    </xf>
    <xf numFmtId="0" fontId="12" fillId="0" borderId="16" xfId="74" applyFont="1" applyBorder="1" applyAlignment="1">
      <alignment horizontal="center" wrapText="1"/>
      <protection/>
    </xf>
    <xf numFmtId="0" fontId="12" fillId="0" borderId="14" xfId="74" applyFont="1" applyBorder="1" applyAlignment="1">
      <alignment horizontal="center" wrapText="1"/>
      <protection/>
    </xf>
    <xf numFmtId="0" fontId="12" fillId="0" borderId="19" xfId="74" applyFont="1" applyBorder="1" applyAlignment="1">
      <alignment horizontal="center" wrapText="1"/>
      <protection/>
    </xf>
    <xf numFmtId="0" fontId="1" fillId="0" borderId="21" xfId="74" applyFont="1" applyBorder="1" applyAlignment="1">
      <alignment horizontal="center" vertical="center" wrapText="1"/>
      <protection/>
    </xf>
    <xf numFmtId="0" fontId="1" fillId="0" borderId="19" xfId="74" applyFont="1" applyBorder="1" applyAlignment="1">
      <alignment horizontal="center" vertical="center" wrapText="1"/>
      <protection/>
    </xf>
    <xf numFmtId="0" fontId="1" fillId="0" borderId="11" xfId="74" applyFont="1" applyBorder="1" applyAlignment="1">
      <alignment horizontal="center"/>
      <protection/>
    </xf>
    <xf numFmtId="0" fontId="1" fillId="0" borderId="23" xfId="74" applyFont="1" applyBorder="1" applyAlignment="1">
      <alignment horizontal="center"/>
      <protection/>
    </xf>
    <xf numFmtId="0" fontId="1" fillId="0" borderId="12" xfId="74" applyFont="1" applyBorder="1" applyAlignment="1">
      <alignment horizontal="center"/>
      <protection/>
    </xf>
    <xf numFmtId="167" fontId="12" fillId="0" borderId="0" xfId="74" applyNumberFormat="1" applyFont="1" applyBorder="1" applyAlignment="1">
      <alignment horizontal="center"/>
      <protection/>
    </xf>
    <xf numFmtId="0" fontId="12" fillId="0" borderId="16" xfId="74" applyFont="1" applyBorder="1" applyAlignment="1">
      <alignment horizontal="center" vertical="center" wrapText="1"/>
      <protection/>
    </xf>
    <xf numFmtId="0" fontId="12" fillId="0" borderId="19" xfId="74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top" wrapText="1"/>
      <protection/>
    </xf>
    <xf numFmtId="0" fontId="1" fillId="0" borderId="22" xfId="63" applyFont="1" applyBorder="1" applyAlignment="1">
      <alignment horizontal="center" vertical="top" wrapText="1"/>
      <protection/>
    </xf>
    <xf numFmtId="0" fontId="1" fillId="0" borderId="10" xfId="64" applyFont="1" applyBorder="1" applyAlignment="1">
      <alignment horizontal="center" vertical="center" wrapText="1"/>
      <protection/>
    </xf>
    <xf numFmtId="0" fontId="1" fillId="0" borderId="21" xfId="64" applyFont="1" applyBorder="1" applyAlignment="1">
      <alignment horizontal="center" vertical="center" wrapText="1"/>
      <protection/>
    </xf>
    <xf numFmtId="0" fontId="1" fillId="0" borderId="17" xfId="64" applyFont="1" applyBorder="1" applyAlignment="1">
      <alignment horizontal="center" vertical="top" wrapText="1"/>
      <protection/>
    </xf>
    <xf numFmtId="0" fontId="1" fillId="0" borderId="22" xfId="64" applyFont="1" applyBorder="1" applyAlignment="1">
      <alignment horizontal="center" vertical="top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Copy of T 4.57" xfId="45"/>
    <cellStyle name="Comma_Copy of T 4.58" xfId="46"/>
    <cellStyle name="Comma_SC &amp; HSC - Amended Tables" xfId="47"/>
    <cellStyle name="Comma_T13.2" xfId="48"/>
    <cellStyle name="Comma_T4.1-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_Copy of T 4.57" xfId="63"/>
    <cellStyle name="Normal_Copy of T 4.58" xfId="64"/>
    <cellStyle name="Normal_SC &amp; HSC - Amended Tables" xfId="65"/>
    <cellStyle name="Normal_T 16" xfId="66"/>
    <cellStyle name="Normal_T12.1-2" xfId="67"/>
    <cellStyle name="Normal_T13.1" xfId="68"/>
    <cellStyle name="Normal_T13.2" xfId="69"/>
    <cellStyle name="Normal_T17.1-2" xfId="70"/>
    <cellStyle name="Normal_T18" xfId="71"/>
    <cellStyle name="Normal_T4.1-2" xfId="72"/>
    <cellStyle name="Normal_T5.1-2 - Prim Enrol" xfId="73"/>
    <cellStyle name="Normal_T5.15" xfId="74"/>
    <cellStyle name="Normal_T6.1-2" xfId="75"/>
    <cellStyle name="Normal_T7.1" xfId="76"/>
    <cellStyle name="Normal_T7.2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</xdr:col>
      <xdr:colOff>0</xdr:colOff>
      <xdr:row>16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23825" y="3028950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1</xdr:col>
      <xdr:colOff>0</xdr:colOff>
      <xdr:row>17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23825" y="38385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361950</xdr:colOff>
      <xdr:row>39</xdr:row>
      <xdr:rowOff>0</xdr:rowOff>
    </xdr:from>
    <xdr:ext cx="76200" cy="247650"/>
    <xdr:sp>
      <xdr:nvSpPr>
        <xdr:cNvPr id="3" name="Text 5"/>
        <xdr:cNvSpPr txBox="1">
          <a:spLocks noChangeArrowheads="1"/>
        </xdr:cNvSpPr>
      </xdr:nvSpPr>
      <xdr:spPr>
        <a:xfrm>
          <a:off x="2771775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19</xdr:row>
      <xdr:rowOff>0</xdr:rowOff>
    </xdr:from>
    <xdr:to>
      <xdr:col>1</xdr:col>
      <xdr:colOff>0</xdr:colOff>
      <xdr:row>21</xdr:row>
      <xdr:rowOff>142875</xdr:rowOff>
    </xdr:to>
    <xdr:sp>
      <xdr:nvSpPr>
        <xdr:cNvPr id="4" name="Text 1"/>
        <xdr:cNvSpPr txBox="1">
          <a:spLocks noChangeArrowheads="1"/>
        </xdr:cNvSpPr>
      </xdr:nvSpPr>
      <xdr:spPr>
        <a:xfrm>
          <a:off x="123825" y="4362450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1</xdr:col>
      <xdr:colOff>0</xdr:colOff>
      <xdr:row>22</xdr:row>
      <xdr:rowOff>152400</xdr:rowOff>
    </xdr:to>
    <xdr:sp>
      <xdr:nvSpPr>
        <xdr:cNvPr id="5" name="Text 2"/>
        <xdr:cNvSpPr txBox="1">
          <a:spLocks noChangeArrowheads="1"/>
        </xdr:cNvSpPr>
      </xdr:nvSpPr>
      <xdr:spPr>
        <a:xfrm>
          <a:off x="123825" y="51720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16</xdr:row>
      <xdr:rowOff>142875</xdr:rowOff>
    </xdr:to>
    <xdr:sp>
      <xdr:nvSpPr>
        <xdr:cNvPr id="6" name="Text 1"/>
        <xdr:cNvSpPr txBox="1">
          <a:spLocks noChangeArrowheads="1"/>
        </xdr:cNvSpPr>
      </xdr:nvSpPr>
      <xdr:spPr>
        <a:xfrm>
          <a:off x="123825" y="3028950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1</xdr:col>
      <xdr:colOff>0</xdr:colOff>
      <xdr:row>17</xdr:row>
      <xdr:rowOff>152400</xdr:rowOff>
    </xdr:to>
    <xdr:sp>
      <xdr:nvSpPr>
        <xdr:cNvPr id="7" name="Text 2"/>
        <xdr:cNvSpPr txBox="1">
          <a:spLocks noChangeArrowheads="1"/>
        </xdr:cNvSpPr>
      </xdr:nvSpPr>
      <xdr:spPr>
        <a:xfrm>
          <a:off x="123825" y="38385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361950</xdr:colOff>
      <xdr:row>39</xdr:row>
      <xdr:rowOff>0</xdr:rowOff>
    </xdr:from>
    <xdr:ext cx="76200" cy="247650"/>
    <xdr:sp>
      <xdr:nvSpPr>
        <xdr:cNvPr id="8" name="Text 5"/>
        <xdr:cNvSpPr txBox="1">
          <a:spLocks noChangeArrowheads="1"/>
        </xdr:cNvSpPr>
      </xdr:nvSpPr>
      <xdr:spPr>
        <a:xfrm>
          <a:off x="2771775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19</xdr:row>
      <xdr:rowOff>0</xdr:rowOff>
    </xdr:from>
    <xdr:to>
      <xdr:col>1</xdr:col>
      <xdr:colOff>0</xdr:colOff>
      <xdr:row>21</xdr:row>
      <xdr:rowOff>142875</xdr:rowOff>
    </xdr:to>
    <xdr:sp>
      <xdr:nvSpPr>
        <xdr:cNvPr id="9" name="Text 1"/>
        <xdr:cNvSpPr txBox="1">
          <a:spLocks noChangeArrowheads="1"/>
        </xdr:cNvSpPr>
      </xdr:nvSpPr>
      <xdr:spPr>
        <a:xfrm>
          <a:off x="123825" y="4362450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1</xdr:col>
      <xdr:colOff>0</xdr:colOff>
      <xdr:row>22</xdr:row>
      <xdr:rowOff>152400</xdr:rowOff>
    </xdr:to>
    <xdr:sp>
      <xdr:nvSpPr>
        <xdr:cNvPr id="10" name="Text 2"/>
        <xdr:cNvSpPr txBox="1">
          <a:spLocks noChangeArrowheads="1"/>
        </xdr:cNvSpPr>
      </xdr:nvSpPr>
      <xdr:spPr>
        <a:xfrm>
          <a:off x="123825" y="51720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10</xdr:col>
      <xdr:colOff>361950</xdr:colOff>
      <xdr:row>39</xdr:row>
      <xdr:rowOff>0</xdr:rowOff>
    </xdr:from>
    <xdr:ext cx="76200" cy="247650"/>
    <xdr:sp>
      <xdr:nvSpPr>
        <xdr:cNvPr id="11" name="Text 5"/>
        <xdr:cNvSpPr txBox="1">
          <a:spLocks noChangeArrowheads="1"/>
        </xdr:cNvSpPr>
      </xdr:nvSpPr>
      <xdr:spPr>
        <a:xfrm>
          <a:off x="76581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39</xdr:row>
      <xdr:rowOff>0</xdr:rowOff>
    </xdr:from>
    <xdr:ext cx="76200" cy="247650"/>
    <xdr:sp>
      <xdr:nvSpPr>
        <xdr:cNvPr id="12" name="Text 5"/>
        <xdr:cNvSpPr txBox="1">
          <a:spLocks noChangeArrowheads="1"/>
        </xdr:cNvSpPr>
      </xdr:nvSpPr>
      <xdr:spPr>
        <a:xfrm>
          <a:off x="76581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3" name="Text 1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4" name="Text 2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0</xdr:colOff>
      <xdr:row>20</xdr:row>
      <xdr:rowOff>0</xdr:rowOff>
    </xdr:from>
    <xdr:ext cx="76200" cy="200025"/>
    <xdr:sp>
      <xdr:nvSpPr>
        <xdr:cNvPr id="15" name="Text 5"/>
        <xdr:cNvSpPr txBox="1">
          <a:spLocks noChangeArrowheads="1"/>
        </xdr:cNvSpPr>
      </xdr:nvSpPr>
      <xdr:spPr>
        <a:xfrm>
          <a:off x="2409825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7" name="Text 2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0</xdr:colOff>
      <xdr:row>20</xdr:row>
      <xdr:rowOff>0</xdr:rowOff>
    </xdr:from>
    <xdr:ext cx="76200" cy="200025"/>
    <xdr:sp>
      <xdr:nvSpPr>
        <xdr:cNvPr id="20" name="Text 5"/>
        <xdr:cNvSpPr txBox="1">
          <a:spLocks noChangeArrowheads="1"/>
        </xdr:cNvSpPr>
      </xdr:nvSpPr>
      <xdr:spPr>
        <a:xfrm>
          <a:off x="2409825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22" name="Text 2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9</xdr:col>
      <xdr:colOff>0</xdr:colOff>
      <xdr:row>20</xdr:row>
      <xdr:rowOff>0</xdr:rowOff>
    </xdr:from>
    <xdr:ext cx="76200" cy="200025"/>
    <xdr:sp>
      <xdr:nvSpPr>
        <xdr:cNvPr id="23" name="Text 5"/>
        <xdr:cNvSpPr txBox="1">
          <a:spLocks noChangeArrowheads="1"/>
        </xdr:cNvSpPr>
      </xdr:nvSpPr>
      <xdr:spPr>
        <a:xfrm>
          <a:off x="6686550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00025"/>
    <xdr:sp>
      <xdr:nvSpPr>
        <xdr:cNvPr id="24" name="Text 5"/>
        <xdr:cNvSpPr txBox="1">
          <a:spLocks noChangeArrowheads="1"/>
        </xdr:cNvSpPr>
      </xdr:nvSpPr>
      <xdr:spPr>
        <a:xfrm>
          <a:off x="6686550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14</xdr:row>
      <xdr:rowOff>0</xdr:rowOff>
    </xdr:from>
    <xdr:to>
      <xdr:col>1</xdr:col>
      <xdr:colOff>0</xdr:colOff>
      <xdr:row>16</xdr:row>
      <xdr:rowOff>142875</xdr:rowOff>
    </xdr:to>
    <xdr:sp>
      <xdr:nvSpPr>
        <xdr:cNvPr id="25" name="Text 1"/>
        <xdr:cNvSpPr txBox="1">
          <a:spLocks noChangeArrowheads="1"/>
        </xdr:cNvSpPr>
      </xdr:nvSpPr>
      <xdr:spPr>
        <a:xfrm>
          <a:off x="123825" y="3028950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1</xdr:col>
      <xdr:colOff>0</xdr:colOff>
      <xdr:row>17</xdr:row>
      <xdr:rowOff>152400</xdr:rowOff>
    </xdr:to>
    <xdr:sp>
      <xdr:nvSpPr>
        <xdr:cNvPr id="26" name="Text 2"/>
        <xdr:cNvSpPr txBox="1">
          <a:spLocks noChangeArrowheads="1"/>
        </xdr:cNvSpPr>
      </xdr:nvSpPr>
      <xdr:spPr>
        <a:xfrm>
          <a:off x="123825" y="38385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361950</xdr:colOff>
      <xdr:row>40</xdr:row>
      <xdr:rowOff>0</xdr:rowOff>
    </xdr:from>
    <xdr:ext cx="76200" cy="228600"/>
    <xdr:sp>
      <xdr:nvSpPr>
        <xdr:cNvPr id="27" name="Text 5"/>
        <xdr:cNvSpPr txBox="1">
          <a:spLocks noChangeArrowheads="1"/>
        </xdr:cNvSpPr>
      </xdr:nvSpPr>
      <xdr:spPr>
        <a:xfrm>
          <a:off x="2771775" y="9763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19</xdr:row>
      <xdr:rowOff>0</xdr:rowOff>
    </xdr:from>
    <xdr:to>
      <xdr:col>1</xdr:col>
      <xdr:colOff>0</xdr:colOff>
      <xdr:row>21</xdr:row>
      <xdr:rowOff>142875</xdr:rowOff>
    </xdr:to>
    <xdr:sp>
      <xdr:nvSpPr>
        <xdr:cNvPr id="28" name="Text 1"/>
        <xdr:cNvSpPr txBox="1">
          <a:spLocks noChangeArrowheads="1"/>
        </xdr:cNvSpPr>
      </xdr:nvSpPr>
      <xdr:spPr>
        <a:xfrm>
          <a:off x="123825" y="4362450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1</xdr:col>
      <xdr:colOff>0</xdr:colOff>
      <xdr:row>22</xdr:row>
      <xdr:rowOff>152400</xdr:rowOff>
    </xdr:to>
    <xdr:sp>
      <xdr:nvSpPr>
        <xdr:cNvPr id="29" name="Text 2"/>
        <xdr:cNvSpPr txBox="1">
          <a:spLocks noChangeArrowheads="1"/>
        </xdr:cNvSpPr>
      </xdr:nvSpPr>
      <xdr:spPr>
        <a:xfrm>
          <a:off x="123825" y="51720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16</xdr:row>
      <xdr:rowOff>142875</xdr:rowOff>
    </xdr:to>
    <xdr:sp>
      <xdr:nvSpPr>
        <xdr:cNvPr id="30" name="Text 1"/>
        <xdr:cNvSpPr txBox="1">
          <a:spLocks noChangeArrowheads="1"/>
        </xdr:cNvSpPr>
      </xdr:nvSpPr>
      <xdr:spPr>
        <a:xfrm>
          <a:off x="123825" y="3028950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1</xdr:col>
      <xdr:colOff>0</xdr:colOff>
      <xdr:row>17</xdr:row>
      <xdr:rowOff>152400</xdr:rowOff>
    </xdr:to>
    <xdr:sp>
      <xdr:nvSpPr>
        <xdr:cNvPr id="31" name="Text 2"/>
        <xdr:cNvSpPr txBox="1">
          <a:spLocks noChangeArrowheads="1"/>
        </xdr:cNvSpPr>
      </xdr:nvSpPr>
      <xdr:spPr>
        <a:xfrm>
          <a:off x="123825" y="38385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361950</xdr:colOff>
      <xdr:row>40</xdr:row>
      <xdr:rowOff>0</xdr:rowOff>
    </xdr:from>
    <xdr:ext cx="76200" cy="228600"/>
    <xdr:sp>
      <xdr:nvSpPr>
        <xdr:cNvPr id="32" name="Text 5"/>
        <xdr:cNvSpPr txBox="1">
          <a:spLocks noChangeArrowheads="1"/>
        </xdr:cNvSpPr>
      </xdr:nvSpPr>
      <xdr:spPr>
        <a:xfrm>
          <a:off x="2771775" y="9763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19</xdr:row>
      <xdr:rowOff>0</xdr:rowOff>
    </xdr:from>
    <xdr:to>
      <xdr:col>1</xdr:col>
      <xdr:colOff>0</xdr:colOff>
      <xdr:row>21</xdr:row>
      <xdr:rowOff>142875</xdr:rowOff>
    </xdr:to>
    <xdr:sp>
      <xdr:nvSpPr>
        <xdr:cNvPr id="33" name="Text 1"/>
        <xdr:cNvSpPr txBox="1">
          <a:spLocks noChangeArrowheads="1"/>
        </xdr:cNvSpPr>
      </xdr:nvSpPr>
      <xdr:spPr>
        <a:xfrm>
          <a:off x="123825" y="4362450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1</xdr:col>
      <xdr:colOff>0</xdr:colOff>
      <xdr:row>22</xdr:row>
      <xdr:rowOff>152400</xdr:rowOff>
    </xdr:to>
    <xdr:sp>
      <xdr:nvSpPr>
        <xdr:cNvPr id="34" name="Text 2"/>
        <xdr:cNvSpPr txBox="1">
          <a:spLocks noChangeArrowheads="1"/>
        </xdr:cNvSpPr>
      </xdr:nvSpPr>
      <xdr:spPr>
        <a:xfrm>
          <a:off x="123825" y="51720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10</xdr:col>
      <xdr:colOff>361950</xdr:colOff>
      <xdr:row>40</xdr:row>
      <xdr:rowOff>0</xdr:rowOff>
    </xdr:from>
    <xdr:ext cx="76200" cy="228600"/>
    <xdr:sp>
      <xdr:nvSpPr>
        <xdr:cNvPr id="35" name="Text 5"/>
        <xdr:cNvSpPr txBox="1">
          <a:spLocks noChangeArrowheads="1"/>
        </xdr:cNvSpPr>
      </xdr:nvSpPr>
      <xdr:spPr>
        <a:xfrm>
          <a:off x="7658100" y="9763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40</xdr:row>
      <xdr:rowOff>0</xdr:rowOff>
    </xdr:from>
    <xdr:ext cx="76200" cy="228600"/>
    <xdr:sp>
      <xdr:nvSpPr>
        <xdr:cNvPr id="36" name="Text 5"/>
        <xdr:cNvSpPr txBox="1">
          <a:spLocks noChangeArrowheads="1"/>
        </xdr:cNvSpPr>
      </xdr:nvSpPr>
      <xdr:spPr>
        <a:xfrm>
          <a:off x="7658100" y="9763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37" name="Text 1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38" name="Text 2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0</xdr:colOff>
      <xdr:row>20</xdr:row>
      <xdr:rowOff>0</xdr:rowOff>
    </xdr:from>
    <xdr:ext cx="76200" cy="200025"/>
    <xdr:sp>
      <xdr:nvSpPr>
        <xdr:cNvPr id="39" name="Text 5"/>
        <xdr:cNvSpPr txBox="1">
          <a:spLocks noChangeArrowheads="1"/>
        </xdr:cNvSpPr>
      </xdr:nvSpPr>
      <xdr:spPr>
        <a:xfrm>
          <a:off x="2409825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0" name="Text 1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1" name="Text 2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2" name="Text 1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3" name="Text 2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0</xdr:colOff>
      <xdr:row>20</xdr:row>
      <xdr:rowOff>0</xdr:rowOff>
    </xdr:from>
    <xdr:ext cx="76200" cy="200025"/>
    <xdr:sp>
      <xdr:nvSpPr>
        <xdr:cNvPr id="44" name="Text 5"/>
        <xdr:cNvSpPr txBox="1">
          <a:spLocks noChangeArrowheads="1"/>
        </xdr:cNvSpPr>
      </xdr:nvSpPr>
      <xdr:spPr>
        <a:xfrm>
          <a:off x="2409825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5" name="Text 1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6" name="Text 2"/>
        <xdr:cNvSpPr txBox="1">
          <a:spLocks noChangeArrowheads="1"/>
        </xdr:cNvSpPr>
      </xdr:nvSpPr>
      <xdr:spPr>
        <a:xfrm>
          <a:off x="1238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9</xdr:col>
      <xdr:colOff>0</xdr:colOff>
      <xdr:row>20</xdr:row>
      <xdr:rowOff>0</xdr:rowOff>
    </xdr:from>
    <xdr:ext cx="76200" cy="200025"/>
    <xdr:sp>
      <xdr:nvSpPr>
        <xdr:cNvPr id="47" name="Text 5"/>
        <xdr:cNvSpPr txBox="1">
          <a:spLocks noChangeArrowheads="1"/>
        </xdr:cNvSpPr>
      </xdr:nvSpPr>
      <xdr:spPr>
        <a:xfrm>
          <a:off x="6686550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00025"/>
    <xdr:sp>
      <xdr:nvSpPr>
        <xdr:cNvPr id="48" name="Text 5"/>
        <xdr:cNvSpPr txBox="1">
          <a:spLocks noChangeArrowheads="1"/>
        </xdr:cNvSpPr>
      </xdr:nvSpPr>
      <xdr:spPr>
        <a:xfrm>
          <a:off x="6686550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12</xdr:row>
      <xdr:rowOff>0</xdr:rowOff>
    </xdr:from>
    <xdr:to>
      <xdr:col>1</xdr:col>
      <xdr:colOff>0</xdr:colOff>
      <xdr:row>14</xdr:row>
      <xdr:rowOff>142875</xdr:rowOff>
    </xdr:to>
    <xdr:sp>
      <xdr:nvSpPr>
        <xdr:cNvPr id="49" name="Text 1"/>
        <xdr:cNvSpPr txBox="1">
          <a:spLocks noChangeArrowheads="1"/>
        </xdr:cNvSpPr>
      </xdr:nvSpPr>
      <xdr:spPr>
        <a:xfrm>
          <a:off x="123825" y="2533650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1</xdr:col>
      <xdr:colOff>0</xdr:colOff>
      <xdr:row>15</xdr:row>
      <xdr:rowOff>152400</xdr:rowOff>
    </xdr:to>
    <xdr:sp>
      <xdr:nvSpPr>
        <xdr:cNvPr id="50" name="Text 2"/>
        <xdr:cNvSpPr txBox="1">
          <a:spLocks noChangeArrowheads="1"/>
        </xdr:cNvSpPr>
      </xdr:nvSpPr>
      <xdr:spPr>
        <a:xfrm>
          <a:off x="123825" y="33051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0</xdr:colOff>
      <xdr:row>39</xdr:row>
      <xdr:rowOff>0</xdr:rowOff>
    </xdr:from>
    <xdr:ext cx="76200" cy="85725"/>
    <xdr:sp>
      <xdr:nvSpPr>
        <xdr:cNvPr id="51" name="Text 5"/>
        <xdr:cNvSpPr txBox="1">
          <a:spLocks noChangeArrowheads="1"/>
        </xdr:cNvSpPr>
      </xdr:nvSpPr>
      <xdr:spPr>
        <a:xfrm>
          <a:off x="2409825" y="95154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142875</xdr:rowOff>
    </xdr:to>
    <xdr:sp>
      <xdr:nvSpPr>
        <xdr:cNvPr id="52" name="Text 1"/>
        <xdr:cNvSpPr txBox="1">
          <a:spLocks noChangeArrowheads="1"/>
        </xdr:cNvSpPr>
      </xdr:nvSpPr>
      <xdr:spPr>
        <a:xfrm>
          <a:off x="123825" y="3829050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1</xdr:col>
      <xdr:colOff>0</xdr:colOff>
      <xdr:row>20</xdr:row>
      <xdr:rowOff>152400</xdr:rowOff>
    </xdr:to>
    <xdr:sp>
      <xdr:nvSpPr>
        <xdr:cNvPr id="53" name="Text 2"/>
        <xdr:cNvSpPr txBox="1">
          <a:spLocks noChangeArrowheads="1"/>
        </xdr:cNvSpPr>
      </xdr:nvSpPr>
      <xdr:spPr>
        <a:xfrm>
          <a:off x="123825" y="46386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14</xdr:row>
      <xdr:rowOff>142875</xdr:rowOff>
    </xdr:to>
    <xdr:sp>
      <xdr:nvSpPr>
        <xdr:cNvPr id="54" name="Text 1"/>
        <xdr:cNvSpPr txBox="1">
          <a:spLocks noChangeArrowheads="1"/>
        </xdr:cNvSpPr>
      </xdr:nvSpPr>
      <xdr:spPr>
        <a:xfrm>
          <a:off x="123825" y="2533650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1</xdr:col>
      <xdr:colOff>0</xdr:colOff>
      <xdr:row>15</xdr:row>
      <xdr:rowOff>152400</xdr:rowOff>
    </xdr:to>
    <xdr:sp>
      <xdr:nvSpPr>
        <xdr:cNvPr id="55" name="Text 2"/>
        <xdr:cNvSpPr txBox="1">
          <a:spLocks noChangeArrowheads="1"/>
        </xdr:cNvSpPr>
      </xdr:nvSpPr>
      <xdr:spPr>
        <a:xfrm>
          <a:off x="123825" y="33051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0</xdr:colOff>
      <xdr:row>39</xdr:row>
      <xdr:rowOff>0</xdr:rowOff>
    </xdr:from>
    <xdr:ext cx="76200" cy="85725"/>
    <xdr:sp>
      <xdr:nvSpPr>
        <xdr:cNvPr id="56" name="Text 5"/>
        <xdr:cNvSpPr txBox="1">
          <a:spLocks noChangeArrowheads="1"/>
        </xdr:cNvSpPr>
      </xdr:nvSpPr>
      <xdr:spPr>
        <a:xfrm>
          <a:off x="2409825" y="95154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142875</xdr:rowOff>
    </xdr:to>
    <xdr:sp>
      <xdr:nvSpPr>
        <xdr:cNvPr id="57" name="Text 1"/>
        <xdr:cNvSpPr txBox="1">
          <a:spLocks noChangeArrowheads="1"/>
        </xdr:cNvSpPr>
      </xdr:nvSpPr>
      <xdr:spPr>
        <a:xfrm>
          <a:off x="123825" y="3829050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1</xdr:col>
      <xdr:colOff>0</xdr:colOff>
      <xdr:row>20</xdr:row>
      <xdr:rowOff>152400</xdr:rowOff>
    </xdr:to>
    <xdr:sp>
      <xdr:nvSpPr>
        <xdr:cNvPr id="58" name="Text 2"/>
        <xdr:cNvSpPr txBox="1">
          <a:spLocks noChangeArrowheads="1"/>
        </xdr:cNvSpPr>
      </xdr:nvSpPr>
      <xdr:spPr>
        <a:xfrm>
          <a:off x="123825" y="46386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8</xdr:col>
      <xdr:colOff>0</xdr:colOff>
      <xdr:row>39</xdr:row>
      <xdr:rowOff>0</xdr:rowOff>
    </xdr:from>
    <xdr:ext cx="76200" cy="85725"/>
    <xdr:sp>
      <xdr:nvSpPr>
        <xdr:cNvPr id="59" name="Text 5"/>
        <xdr:cNvSpPr txBox="1">
          <a:spLocks noChangeArrowheads="1"/>
        </xdr:cNvSpPr>
      </xdr:nvSpPr>
      <xdr:spPr>
        <a:xfrm>
          <a:off x="6076950" y="95154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85725"/>
    <xdr:sp>
      <xdr:nvSpPr>
        <xdr:cNvPr id="60" name="Text 5"/>
        <xdr:cNvSpPr txBox="1">
          <a:spLocks noChangeArrowheads="1"/>
        </xdr:cNvSpPr>
      </xdr:nvSpPr>
      <xdr:spPr>
        <a:xfrm>
          <a:off x="6076950" y="95154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61" name="Text 1"/>
        <xdr:cNvSpPr txBox="1">
          <a:spLocks noChangeArrowheads="1"/>
        </xdr:cNvSpPr>
      </xdr:nvSpPr>
      <xdr:spPr>
        <a:xfrm>
          <a:off x="123825" y="19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62" name="Text 2"/>
        <xdr:cNvSpPr txBox="1">
          <a:spLocks noChangeArrowheads="1"/>
        </xdr:cNvSpPr>
      </xdr:nvSpPr>
      <xdr:spPr>
        <a:xfrm>
          <a:off x="123825" y="19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0</xdr:colOff>
      <xdr:row>18</xdr:row>
      <xdr:rowOff>0</xdr:rowOff>
    </xdr:from>
    <xdr:ext cx="76200" cy="85725"/>
    <xdr:sp>
      <xdr:nvSpPr>
        <xdr:cNvPr id="63" name="Text 5"/>
        <xdr:cNvSpPr txBox="1">
          <a:spLocks noChangeArrowheads="1"/>
        </xdr:cNvSpPr>
      </xdr:nvSpPr>
      <xdr:spPr>
        <a:xfrm>
          <a:off x="2409825" y="40957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64" name="Text 1"/>
        <xdr:cNvSpPr txBox="1">
          <a:spLocks noChangeArrowheads="1"/>
        </xdr:cNvSpPr>
      </xdr:nvSpPr>
      <xdr:spPr>
        <a:xfrm>
          <a:off x="123825" y="19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65" name="Text 2"/>
        <xdr:cNvSpPr txBox="1">
          <a:spLocks noChangeArrowheads="1"/>
        </xdr:cNvSpPr>
      </xdr:nvSpPr>
      <xdr:spPr>
        <a:xfrm>
          <a:off x="123825" y="19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66" name="Text 1"/>
        <xdr:cNvSpPr txBox="1">
          <a:spLocks noChangeArrowheads="1"/>
        </xdr:cNvSpPr>
      </xdr:nvSpPr>
      <xdr:spPr>
        <a:xfrm>
          <a:off x="123825" y="19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67" name="Text 2"/>
        <xdr:cNvSpPr txBox="1">
          <a:spLocks noChangeArrowheads="1"/>
        </xdr:cNvSpPr>
      </xdr:nvSpPr>
      <xdr:spPr>
        <a:xfrm>
          <a:off x="123825" y="19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0</xdr:colOff>
      <xdr:row>18</xdr:row>
      <xdr:rowOff>0</xdr:rowOff>
    </xdr:from>
    <xdr:ext cx="76200" cy="85725"/>
    <xdr:sp>
      <xdr:nvSpPr>
        <xdr:cNvPr id="68" name="Text 5"/>
        <xdr:cNvSpPr txBox="1">
          <a:spLocks noChangeArrowheads="1"/>
        </xdr:cNvSpPr>
      </xdr:nvSpPr>
      <xdr:spPr>
        <a:xfrm>
          <a:off x="2409825" y="40957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69" name="Text 1"/>
        <xdr:cNvSpPr txBox="1">
          <a:spLocks noChangeArrowheads="1"/>
        </xdr:cNvSpPr>
      </xdr:nvSpPr>
      <xdr:spPr>
        <a:xfrm>
          <a:off x="123825" y="19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70" name="Text 2"/>
        <xdr:cNvSpPr txBox="1">
          <a:spLocks noChangeArrowheads="1"/>
        </xdr:cNvSpPr>
      </xdr:nvSpPr>
      <xdr:spPr>
        <a:xfrm>
          <a:off x="123825" y="19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8</xdr:col>
      <xdr:colOff>0</xdr:colOff>
      <xdr:row>18</xdr:row>
      <xdr:rowOff>0</xdr:rowOff>
    </xdr:from>
    <xdr:ext cx="76200" cy="85725"/>
    <xdr:sp>
      <xdr:nvSpPr>
        <xdr:cNvPr id="71" name="Text 5"/>
        <xdr:cNvSpPr txBox="1">
          <a:spLocks noChangeArrowheads="1"/>
        </xdr:cNvSpPr>
      </xdr:nvSpPr>
      <xdr:spPr>
        <a:xfrm>
          <a:off x="6076950" y="40957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85725"/>
    <xdr:sp>
      <xdr:nvSpPr>
        <xdr:cNvPr id="72" name="Text 5"/>
        <xdr:cNvSpPr txBox="1">
          <a:spLocks noChangeArrowheads="1"/>
        </xdr:cNvSpPr>
      </xdr:nvSpPr>
      <xdr:spPr>
        <a:xfrm>
          <a:off x="6076950" y="40957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85725"/>
    <xdr:sp>
      <xdr:nvSpPr>
        <xdr:cNvPr id="73" name="Text 5"/>
        <xdr:cNvSpPr txBox="1">
          <a:spLocks noChangeArrowheads="1"/>
        </xdr:cNvSpPr>
      </xdr:nvSpPr>
      <xdr:spPr>
        <a:xfrm>
          <a:off x="4772025" y="40957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85725"/>
    <xdr:sp>
      <xdr:nvSpPr>
        <xdr:cNvPr id="74" name="Text 5"/>
        <xdr:cNvSpPr txBox="1">
          <a:spLocks noChangeArrowheads="1"/>
        </xdr:cNvSpPr>
      </xdr:nvSpPr>
      <xdr:spPr>
        <a:xfrm>
          <a:off x="4772025" y="40957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276225</xdr:colOff>
      <xdr:row>0</xdr:row>
      <xdr:rowOff>0</xdr:rowOff>
    </xdr:from>
    <xdr:to>
      <xdr:col>31</xdr:col>
      <xdr:colOff>0</xdr:colOff>
      <xdr:row>30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20150" y="0"/>
          <a:ext cx="247650" cy="6896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- 30 -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0</xdr:rowOff>
    </xdr:from>
    <xdr:to>
      <xdr:col>2</xdr:col>
      <xdr:colOff>200025</xdr:colOff>
      <xdr:row>3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71500" y="609600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Administration
</a:t>
          </a:r>
        </a:p>
      </xdr:txBody>
    </xdr:sp>
    <xdr:clientData/>
  </xdr:twoCellAnchor>
  <xdr:twoCellAnchor>
    <xdr:from>
      <xdr:col>18</xdr:col>
      <xdr:colOff>0</xdr:colOff>
      <xdr:row>0</xdr:row>
      <xdr:rowOff>38100</xdr:rowOff>
    </xdr:from>
    <xdr:to>
      <xdr:col>18</xdr:col>
      <xdr:colOff>0</xdr:colOff>
      <xdr:row>24</xdr:row>
      <xdr:rowOff>114300</xdr:rowOff>
    </xdr:to>
    <xdr:sp>
      <xdr:nvSpPr>
        <xdr:cNvPr id="2" name="Text 1"/>
        <xdr:cNvSpPr txBox="1">
          <a:spLocks noChangeArrowheads="1"/>
        </xdr:cNvSpPr>
      </xdr:nvSpPr>
      <xdr:spPr>
        <a:xfrm>
          <a:off x="2657475" y="38100"/>
          <a:ext cx="0" cy="543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- 18 -</a:t>
          </a:r>
        </a:p>
      </xdr:txBody>
    </xdr:sp>
    <xdr:clientData/>
  </xdr:twoCellAnchor>
  <xdr:twoCellAnchor>
    <xdr:from>
      <xdr:col>30</xdr:col>
      <xdr:colOff>257175</xdr:colOff>
      <xdr:row>0</xdr:row>
      <xdr:rowOff>0</xdr:rowOff>
    </xdr:from>
    <xdr:to>
      <xdr:col>30</xdr:col>
      <xdr:colOff>561975</xdr:colOff>
      <xdr:row>30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8953500" y="0"/>
          <a:ext cx="304800" cy="6686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- 31 - 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0</xdr:rowOff>
    </xdr:from>
    <xdr:to>
      <xdr:col>13</xdr:col>
      <xdr:colOff>438150</xdr:colOff>
      <xdr:row>38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39225" y="0"/>
          <a:ext cx="2381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- 32 -</a:t>
          </a:r>
        </a:p>
      </xdr:txBody>
    </xdr:sp>
    <xdr:clientData/>
  </xdr:twoCellAnchor>
  <xdr:twoCellAnchor>
    <xdr:from>
      <xdr:col>13</xdr:col>
      <xdr:colOff>438150</xdr:colOff>
      <xdr:row>0</xdr:row>
      <xdr:rowOff>47625</xdr:rowOff>
    </xdr:from>
    <xdr:to>
      <xdr:col>14</xdr:col>
      <xdr:colOff>0</xdr:colOff>
      <xdr:row>38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 flipH="1">
          <a:off x="9277350" y="47625"/>
          <a:ext cx="238125" cy="656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342900</xdr:colOff>
      <xdr:row>0</xdr:row>
      <xdr:rowOff>28575</xdr:rowOff>
    </xdr:from>
    <xdr:to>
      <xdr:col>13</xdr:col>
      <xdr:colOff>647700</xdr:colOff>
      <xdr:row>39</xdr:row>
      <xdr:rowOff>161925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9182100" y="28575"/>
          <a:ext cx="304800" cy="696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0</xdr:row>
      <xdr:rowOff>0</xdr:rowOff>
    </xdr:from>
    <xdr:to>
      <xdr:col>15</xdr:col>
      <xdr:colOff>438150</xdr:colOff>
      <xdr:row>41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15450" y="0"/>
          <a:ext cx="238125" cy="7515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- 33 -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763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0763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247650</xdr:colOff>
      <xdr:row>0</xdr:row>
      <xdr:rowOff>38100</xdr:rowOff>
    </xdr:from>
    <xdr:to>
      <xdr:col>18</xdr:col>
      <xdr:colOff>0</xdr:colOff>
      <xdr:row>30</xdr:row>
      <xdr:rowOff>190500</xdr:rowOff>
    </xdr:to>
    <xdr:sp>
      <xdr:nvSpPr>
        <xdr:cNvPr id="1" name="Text 1"/>
        <xdr:cNvSpPr txBox="1">
          <a:spLocks noChangeArrowheads="1"/>
        </xdr:cNvSpPr>
      </xdr:nvSpPr>
      <xdr:spPr>
        <a:xfrm>
          <a:off x="9534525" y="38100"/>
          <a:ext cx="133350" cy="6772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- 12 -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28575</xdr:rowOff>
    </xdr:from>
    <xdr:to>
      <xdr:col>2</xdr:col>
      <xdr:colOff>390525</xdr:colOff>
      <xdr:row>2</xdr:row>
      <xdr:rowOff>714375</xdr:rowOff>
    </xdr:to>
    <xdr:sp>
      <xdr:nvSpPr>
        <xdr:cNvPr id="1" name="Text 1"/>
        <xdr:cNvSpPr txBox="1">
          <a:spLocks noChangeArrowheads="1"/>
        </xdr:cNvSpPr>
      </xdr:nvSpPr>
      <xdr:spPr>
        <a:xfrm>
          <a:off x="2314575" y="304800"/>
          <a:ext cx="32385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Deputy Head Teacher</a:t>
          </a:r>
        </a:p>
      </xdr:txBody>
    </xdr:sp>
    <xdr:clientData/>
  </xdr:twoCellAnchor>
  <xdr:twoCellAnchor>
    <xdr:from>
      <xdr:col>11</xdr:col>
      <xdr:colOff>66675</xdr:colOff>
      <xdr:row>2</xdr:row>
      <xdr:rowOff>190500</xdr:rowOff>
    </xdr:from>
    <xdr:to>
      <xdr:col>11</xdr:col>
      <xdr:colOff>390525</xdr:colOff>
      <xdr:row>2</xdr:row>
      <xdr:rowOff>742950</xdr:rowOff>
    </xdr:to>
    <xdr:sp>
      <xdr:nvSpPr>
        <xdr:cNvPr id="2" name="Text 3"/>
        <xdr:cNvSpPr txBox="1">
          <a:spLocks noChangeArrowheads="1"/>
        </xdr:cNvSpPr>
      </xdr:nvSpPr>
      <xdr:spPr>
        <a:xfrm>
          <a:off x="6572250" y="466725"/>
          <a:ext cx="32385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Modern Chinese</a:t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18</xdr:col>
      <xdr:colOff>0</xdr:colOff>
      <xdr:row>26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9153525" y="0"/>
          <a:ext cx="381000" cy="6591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
</a:t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12</xdr:col>
      <xdr:colOff>0</xdr:colOff>
      <xdr:row>2</xdr:row>
      <xdr:rowOff>228600</xdr:rowOff>
    </xdr:to>
    <xdr:sp>
      <xdr:nvSpPr>
        <xdr:cNvPr id="4" name="Text 5"/>
        <xdr:cNvSpPr txBox="1">
          <a:spLocks noChangeArrowheads="1"/>
        </xdr:cNvSpPr>
      </xdr:nvSpPr>
      <xdr:spPr>
        <a:xfrm>
          <a:off x="3248025" y="285750"/>
          <a:ext cx="3724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Teacher, Oriental language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66675</xdr:colOff>
      <xdr:row>18</xdr:row>
      <xdr:rowOff>190500</xdr:rowOff>
    </xdr:from>
    <xdr:to>
      <xdr:col>11</xdr:col>
      <xdr:colOff>400050</xdr:colOff>
      <xdr:row>18</xdr:row>
      <xdr:rowOff>723900</xdr:rowOff>
    </xdr:to>
    <xdr:sp>
      <xdr:nvSpPr>
        <xdr:cNvPr id="5" name="Text 3"/>
        <xdr:cNvSpPr txBox="1">
          <a:spLocks noChangeArrowheads="1"/>
        </xdr:cNvSpPr>
      </xdr:nvSpPr>
      <xdr:spPr>
        <a:xfrm>
          <a:off x="6572250" y="4105275"/>
          <a:ext cx="33337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Modern Chinese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12</xdr:col>
      <xdr:colOff>0</xdr:colOff>
      <xdr:row>18</xdr:row>
      <xdr:rowOff>219075</xdr:rowOff>
    </xdr:to>
    <xdr:sp>
      <xdr:nvSpPr>
        <xdr:cNvPr id="6" name="Text 5"/>
        <xdr:cNvSpPr txBox="1">
          <a:spLocks noChangeArrowheads="1"/>
        </xdr:cNvSpPr>
      </xdr:nvSpPr>
      <xdr:spPr>
        <a:xfrm>
          <a:off x="3248025" y="3924300"/>
          <a:ext cx="3724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Teacher, Oriental language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47625</xdr:colOff>
      <xdr:row>18</xdr:row>
      <xdr:rowOff>19050</xdr:rowOff>
    </xdr:from>
    <xdr:to>
      <xdr:col>2</xdr:col>
      <xdr:colOff>409575</xdr:colOff>
      <xdr:row>18</xdr:row>
      <xdr:rowOff>704850</xdr:rowOff>
    </xdr:to>
    <xdr:sp>
      <xdr:nvSpPr>
        <xdr:cNvPr id="7" name="Text 1"/>
        <xdr:cNvSpPr txBox="1">
          <a:spLocks noChangeArrowheads="1"/>
        </xdr:cNvSpPr>
      </xdr:nvSpPr>
      <xdr:spPr>
        <a:xfrm>
          <a:off x="2295525" y="3933825"/>
          <a:ext cx="36195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Deputy Head Teacher</a:t>
          </a:r>
        </a:p>
      </xdr:txBody>
    </xdr:sp>
    <xdr:clientData/>
  </xdr:twoCellAnchor>
  <xdr:twoCellAnchor>
    <xdr:from>
      <xdr:col>3</xdr:col>
      <xdr:colOff>66675</xdr:colOff>
      <xdr:row>18</xdr:row>
      <xdr:rowOff>19050</xdr:rowOff>
    </xdr:from>
    <xdr:to>
      <xdr:col>3</xdr:col>
      <xdr:colOff>514350</xdr:colOff>
      <xdr:row>18</xdr:row>
      <xdr:rowOff>723900</xdr:rowOff>
    </xdr:to>
    <xdr:sp>
      <xdr:nvSpPr>
        <xdr:cNvPr id="8" name="Text 2"/>
        <xdr:cNvSpPr txBox="1">
          <a:spLocks noChangeArrowheads="1"/>
        </xdr:cNvSpPr>
      </xdr:nvSpPr>
      <xdr:spPr>
        <a:xfrm>
          <a:off x="2743200" y="3933825"/>
          <a:ext cx="447675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Teacher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General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Purpose *</a:t>
          </a:r>
        </a:p>
      </xdr:txBody>
    </xdr:sp>
    <xdr:clientData/>
  </xdr:twoCellAnchor>
  <xdr:twoCellAnchor>
    <xdr:from>
      <xdr:col>3</xdr:col>
      <xdr:colOff>57150</xdr:colOff>
      <xdr:row>2</xdr:row>
      <xdr:rowOff>19050</xdr:rowOff>
    </xdr:from>
    <xdr:to>
      <xdr:col>3</xdr:col>
      <xdr:colOff>523875</xdr:colOff>
      <xdr:row>2</xdr:row>
      <xdr:rowOff>723900</xdr:rowOff>
    </xdr:to>
    <xdr:sp>
      <xdr:nvSpPr>
        <xdr:cNvPr id="9" name="Text 2"/>
        <xdr:cNvSpPr txBox="1">
          <a:spLocks noChangeArrowheads="1"/>
        </xdr:cNvSpPr>
      </xdr:nvSpPr>
      <xdr:spPr>
        <a:xfrm>
          <a:off x="2733675" y="295275"/>
          <a:ext cx="466725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Teacher General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Purpose 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0</xdr:rowOff>
    </xdr:from>
    <xdr:to>
      <xdr:col>2</xdr:col>
      <xdr:colOff>200025</xdr:colOff>
      <xdr:row>3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71500" y="581025"/>
          <a:ext cx="136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Administration
</a:t>
          </a:r>
        </a:p>
      </xdr:txBody>
    </xdr:sp>
    <xdr:clientData/>
  </xdr:twoCellAnchor>
  <xdr:twoCellAnchor>
    <xdr:from>
      <xdr:col>12</xdr:col>
      <xdr:colOff>0</xdr:colOff>
      <xdr:row>0</xdr:row>
      <xdr:rowOff>28575</xdr:rowOff>
    </xdr:from>
    <xdr:to>
      <xdr:col>12</xdr:col>
      <xdr:colOff>0</xdr:colOff>
      <xdr:row>14</xdr:row>
      <xdr:rowOff>190500</xdr:rowOff>
    </xdr:to>
    <xdr:sp>
      <xdr:nvSpPr>
        <xdr:cNvPr id="2" name="Text 1"/>
        <xdr:cNvSpPr txBox="1">
          <a:spLocks noChangeArrowheads="1"/>
        </xdr:cNvSpPr>
      </xdr:nvSpPr>
      <xdr:spPr>
        <a:xfrm>
          <a:off x="2447925" y="28575"/>
          <a:ext cx="0" cy="6486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  <xdr:twoCellAnchor>
    <xdr:from>
      <xdr:col>21</xdr:col>
      <xdr:colOff>247650</xdr:colOff>
      <xdr:row>0</xdr:row>
      <xdr:rowOff>28575</xdr:rowOff>
    </xdr:from>
    <xdr:to>
      <xdr:col>21</xdr:col>
      <xdr:colOff>561975</xdr:colOff>
      <xdr:row>14</xdr:row>
      <xdr:rowOff>190500</xdr:rowOff>
    </xdr:to>
    <xdr:sp>
      <xdr:nvSpPr>
        <xdr:cNvPr id="3" name="Text 1"/>
        <xdr:cNvSpPr txBox="1">
          <a:spLocks noChangeArrowheads="1"/>
        </xdr:cNvSpPr>
      </xdr:nvSpPr>
      <xdr:spPr>
        <a:xfrm>
          <a:off x="8696325" y="28575"/>
          <a:ext cx="314325" cy="6486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- 17 -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0</xdr:row>
      <xdr:rowOff>0</xdr:rowOff>
    </xdr:from>
    <xdr:to>
      <xdr:col>11</xdr:col>
      <xdr:colOff>561975</xdr:colOff>
      <xdr:row>24</xdr:row>
      <xdr:rowOff>200025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886825" y="0"/>
          <a:ext cx="266700" cy="6477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- 18 -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0</xdr:row>
      <xdr:rowOff>28575</xdr:rowOff>
    </xdr:from>
    <xdr:to>
      <xdr:col>14</xdr:col>
      <xdr:colOff>0</xdr:colOff>
      <xdr:row>33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782050" y="28575"/>
          <a:ext cx="352425" cy="7353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- 20 -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257175</xdr:colOff>
      <xdr:row>0</xdr:row>
      <xdr:rowOff>0</xdr:rowOff>
    </xdr:from>
    <xdr:to>
      <xdr:col>14</xdr:col>
      <xdr:colOff>581025</xdr:colOff>
      <xdr:row>29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991600" y="0"/>
          <a:ext cx="323850" cy="6257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- 26 -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0</xdr:row>
      <xdr:rowOff>0</xdr:rowOff>
    </xdr:from>
    <xdr:to>
      <xdr:col>13</xdr:col>
      <xdr:colOff>238125</xdr:colOff>
      <xdr:row>26</xdr:row>
      <xdr:rowOff>228600</xdr:rowOff>
    </xdr:to>
    <xdr:sp>
      <xdr:nvSpPr>
        <xdr:cNvPr id="1" name="Text 4"/>
        <xdr:cNvSpPr txBox="1">
          <a:spLocks noChangeArrowheads="1"/>
        </xdr:cNvSpPr>
      </xdr:nvSpPr>
      <xdr:spPr>
        <a:xfrm>
          <a:off x="8820150" y="0"/>
          <a:ext cx="304800" cy="6496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- 29 -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DICATOR%20%202010\Comp-Analysis%2006\Secondary-Comp-analysis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land"/>
      <sheetName val="Rodrigues"/>
      <sheetName val="Republic"/>
      <sheetName val="Pop"/>
    </sheetNames>
    <sheetDataSet>
      <sheetData sheetId="2">
        <row r="39">
          <cell r="G39">
            <v>105988</v>
          </cell>
          <cell r="H39">
            <v>110287</v>
          </cell>
          <cell r="I39">
            <v>114657</v>
          </cell>
        </row>
        <row r="55">
          <cell r="G55">
            <v>8488</v>
          </cell>
          <cell r="H55">
            <v>9845</v>
          </cell>
          <cell r="I55">
            <v>10424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34">
      <selection activeCell="L49" sqref="L49"/>
    </sheetView>
  </sheetViews>
  <sheetFormatPr defaultColWidth="9.140625" defaultRowHeight="12.75"/>
  <cols>
    <col min="1" max="1" width="5.7109375" style="2" customWidth="1"/>
    <col min="2" max="6" width="9.140625" style="2" customWidth="1"/>
    <col min="7" max="7" width="8.8515625" style="2" customWidth="1"/>
    <col min="8" max="8" width="30.00390625" style="2" customWidth="1"/>
    <col min="9" max="9" width="7.57421875" style="2" customWidth="1"/>
    <col min="10" max="16384" width="9.140625" style="2" customWidth="1"/>
  </cols>
  <sheetData>
    <row r="1" spans="1:9" ht="25.5" customHeight="1">
      <c r="A1" s="1297" t="s">
        <v>309</v>
      </c>
      <c r="B1" s="1297"/>
      <c r="C1" s="1297"/>
      <c r="D1" s="1297"/>
      <c r="E1" s="1297"/>
      <c r="F1" s="1297"/>
      <c r="G1" s="1297"/>
      <c r="H1" s="1297"/>
      <c r="I1" s="1297"/>
    </row>
    <row r="2" spans="1:8" ht="11.25" customHeight="1">
      <c r="A2" s="1298"/>
      <c r="B2" s="1298"/>
      <c r="C2" s="1298"/>
      <c r="D2" s="1298"/>
      <c r="E2" s="1298"/>
      <c r="F2" s="1298"/>
      <c r="G2" s="1298"/>
      <c r="H2" s="1298"/>
    </row>
    <row r="3" spans="1:8" ht="21" customHeight="1">
      <c r="A3" s="1298"/>
      <c r="B3" s="1298"/>
      <c r="C3" s="1298"/>
      <c r="D3" s="1298"/>
      <c r="E3" s="1298"/>
      <c r="F3" s="1298"/>
      <c r="G3" s="1298"/>
      <c r="H3" s="1298"/>
    </row>
    <row r="4" spans="2:9" ht="27.75" customHeight="1">
      <c r="B4" s="1292"/>
      <c r="C4" s="1292"/>
      <c r="D4" s="1292"/>
      <c r="E4" s="1292"/>
      <c r="F4" s="1292"/>
      <c r="G4" s="1292"/>
      <c r="H4" s="1292"/>
      <c r="I4" s="998" t="s">
        <v>259</v>
      </c>
    </row>
    <row r="5" spans="1:8" ht="15" customHeight="1">
      <c r="A5" s="998"/>
      <c r="B5" s="1299"/>
      <c r="C5" s="1299"/>
      <c r="D5" s="1299"/>
      <c r="E5" s="1299"/>
      <c r="F5" s="1299"/>
      <c r="G5" s="1299"/>
      <c r="H5" s="1299"/>
    </row>
    <row r="6" spans="1:8" ht="21" customHeight="1">
      <c r="A6" s="1000"/>
      <c r="B6" s="1298" t="s">
        <v>310</v>
      </c>
      <c r="C6" s="1298"/>
      <c r="D6" s="1298"/>
      <c r="E6" s="1298"/>
      <c r="F6" s="1298"/>
      <c r="G6" s="1298"/>
      <c r="H6" s="1298"/>
    </row>
    <row r="7" spans="1:9" ht="21" customHeight="1">
      <c r="A7" s="1001" t="s">
        <v>260</v>
      </c>
      <c r="B7" s="1292" t="s">
        <v>353</v>
      </c>
      <c r="C7" s="1292"/>
      <c r="D7" s="1292"/>
      <c r="E7" s="1292"/>
      <c r="F7" s="1292"/>
      <c r="G7" s="1292"/>
      <c r="H7" s="1292"/>
      <c r="I7" s="1">
        <v>7</v>
      </c>
    </row>
    <row r="8" spans="1:8" ht="21" customHeight="1">
      <c r="A8" s="998"/>
      <c r="B8" s="1292"/>
      <c r="C8" s="1292"/>
      <c r="D8" s="1292"/>
      <c r="E8" s="1292"/>
      <c r="F8" s="1292"/>
      <c r="G8" s="1292"/>
      <c r="H8" s="1292"/>
    </row>
    <row r="9" spans="1:8" ht="21" customHeight="1">
      <c r="A9" s="1000"/>
      <c r="B9" s="1298" t="s">
        <v>261</v>
      </c>
      <c r="C9" s="1298"/>
      <c r="D9" s="1298"/>
      <c r="E9" s="1298"/>
      <c r="F9" s="1298"/>
      <c r="G9" s="1298"/>
      <c r="H9" s="1298"/>
    </row>
    <row r="10" spans="1:9" ht="21" customHeight="1">
      <c r="A10" s="999">
        <v>2.1</v>
      </c>
      <c r="B10" s="1292" t="s">
        <v>460</v>
      </c>
      <c r="C10" s="1292"/>
      <c r="D10" s="1292"/>
      <c r="E10" s="1292"/>
      <c r="F10" s="1292"/>
      <c r="G10" s="1292"/>
      <c r="H10" s="1292"/>
      <c r="I10" s="1">
        <v>8</v>
      </c>
    </row>
    <row r="11" spans="1:9" ht="21" customHeight="1">
      <c r="A11" s="999">
        <v>2.2</v>
      </c>
      <c r="B11" s="1292" t="s">
        <v>461</v>
      </c>
      <c r="C11" s="1292"/>
      <c r="D11" s="1292"/>
      <c r="E11" s="1292"/>
      <c r="F11" s="1292"/>
      <c r="G11" s="1292"/>
      <c r="H11" s="1292"/>
      <c r="I11" s="1">
        <v>8</v>
      </c>
    </row>
    <row r="12" spans="1:9" ht="21" customHeight="1">
      <c r="A12" s="1002"/>
      <c r="B12" s="1292"/>
      <c r="C12" s="1292"/>
      <c r="D12" s="1292"/>
      <c r="E12" s="1292"/>
      <c r="F12" s="1292"/>
      <c r="G12" s="1292"/>
      <c r="H12" s="1292"/>
      <c r="I12" s="1"/>
    </row>
    <row r="13" spans="1:9" ht="21" customHeight="1">
      <c r="A13" s="1000"/>
      <c r="B13" s="1294" t="s">
        <v>262</v>
      </c>
      <c r="C13" s="1295"/>
      <c r="D13" s="1295"/>
      <c r="E13" s="1295"/>
      <c r="F13" s="1295"/>
      <c r="G13" s="1295"/>
      <c r="H13" s="1295"/>
      <c r="I13" s="1"/>
    </row>
    <row r="14" spans="1:9" ht="21" customHeight="1">
      <c r="A14" s="1001" t="s">
        <v>263</v>
      </c>
      <c r="B14" s="2" t="s">
        <v>354</v>
      </c>
      <c r="I14" s="1">
        <v>9</v>
      </c>
    </row>
    <row r="15" spans="1:9" ht="21" customHeight="1">
      <c r="A15" s="1001" t="s">
        <v>264</v>
      </c>
      <c r="B15" s="2" t="s">
        <v>355</v>
      </c>
      <c r="I15" s="1">
        <v>9</v>
      </c>
    </row>
    <row r="16" spans="1:9" ht="21" customHeight="1">
      <c r="A16" s="1001" t="s">
        <v>265</v>
      </c>
      <c r="B16" s="2" t="s">
        <v>356</v>
      </c>
      <c r="I16" s="1">
        <v>10</v>
      </c>
    </row>
    <row r="17" spans="1:9" ht="21" customHeight="1">
      <c r="A17" s="1001" t="s">
        <v>266</v>
      </c>
      <c r="B17" s="1296" t="s">
        <v>357</v>
      </c>
      <c r="C17" s="1296"/>
      <c r="D17" s="1296"/>
      <c r="E17" s="1296"/>
      <c r="F17" s="1296"/>
      <c r="G17" s="1296"/>
      <c r="H17" s="1296"/>
      <c r="I17" s="1">
        <v>10</v>
      </c>
    </row>
    <row r="18" spans="1:9" ht="21" customHeight="1">
      <c r="A18" s="999"/>
      <c r="B18" s="3"/>
      <c r="C18" s="3"/>
      <c r="D18" s="3"/>
      <c r="E18" s="3"/>
      <c r="F18" s="3"/>
      <c r="G18" s="3"/>
      <c r="H18" s="3"/>
      <c r="I18" s="1"/>
    </row>
    <row r="19" spans="1:9" ht="21" customHeight="1">
      <c r="A19" s="1000"/>
      <c r="B19" s="1294" t="s">
        <v>267</v>
      </c>
      <c r="C19" s="1295"/>
      <c r="D19" s="1295"/>
      <c r="E19" s="1295"/>
      <c r="F19" s="1295"/>
      <c r="G19" s="1295"/>
      <c r="H19" s="1295"/>
      <c r="I19" s="1"/>
    </row>
    <row r="20" spans="1:9" ht="21" customHeight="1">
      <c r="A20" s="1001" t="s">
        <v>268</v>
      </c>
      <c r="B20" s="2" t="s">
        <v>358</v>
      </c>
      <c r="I20" s="1">
        <v>11</v>
      </c>
    </row>
    <row r="21" spans="1:9" ht="21" customHeight="1">
      <c r="A21" s="999">
        <v>4.2</v>
      </c>
      <c r="B21" s="2" t="s">
        <v>359</v>
      </c>
      <c r="I21" s="1">
        <v>11</v>
      </c>
    </row>
    <row r="22" spans="1:9" ht="21" customHeight="1">
      <c r="A22" s="318">
        <v>4.3</v>
      </c>
      <c r="B22" s="2" t="s">
        <v>360</v>
      </c>
      <c r="H22" s="999"/>
      <c r="I22" s="1">
        <v>12</v>
      </c>
    </row>
    <row r="23" spans="1:9" ht="21" customHeight="1">
      <c r="A23" s="1001" t="s">
        <v>269</v>
      </c>
      <c r="B23" s="2" t="s">
        <v>361</v>
      </c>
      <c r="I23" s="1">
        <v>12</v>
      </c>
    </row>
    <row r="24" spans="1:9" ht="21" customHeight="1">
      <c r="A24" s="1001" t="s">
        <v>270</v>
      </c>
      <c r="B24" s="1296" t="s">
        <v>362</v>
      </c>
      <c r="C24" s="1296"/>
      <c r="D24" s="1296"/>
      <c r="E24" s="1296"/>
      <c r="F24" s="1296"/>
      <c r="G24" s="1296"/>
      <c r="H24" s="1296"/>
      <c r="I24" s="1">
        <v>13</v>
      </c>
    </row>
    <row r="25" spans="1:9" ht="21" customHeight="1">
      <c r="A25" s="1001" t="s">
        <v>271</v>
      </c>
      <c r="B25" s="1296" t="s">
        <v>363</v>
      </c>
      <c r="C25" s="1296"/>
      <c r="D25" s="1296"/>
      <c r="E25" s="1296"/>
      <c r="F25" s="1296"/>
      <c r="G25" s="1296"/>
      <c r="H25" s="1296"/>
      <c r="I25" s="1">
        <v>13</v>
      </c>
    </row>
    <row r="26" spans="1:9" ht="21" customHeight="1">
      <c r="A26" s="999">
        <v>4.7</v>
      </c>
      <c r="B26" s="1296" t="s">
        <v>364</v>
      </c>
      <c r="C26" s="1296"/>
      <c r="D26" s="1296"/>
      <c r="E26" s="1296"/>
      <c r="F26" s="1296"/>
      <c r="G26" s="1296"/>
      <c r="H26" s="1296"/>
      <c r="I26" s="1">
        <v>14</v>
      </c>
    </row>
    <row r="27" spans="1:9" ht="21" customHeight="1">
      <c r="A27" s="318">
        <v>4.8</v>
      </c>
      <c r="B27" s="1291" t="s">
        <v>365</v>
      </c>
      <c r="C27" s="1291"/>
      <c r="D27" s="1291"/>
      <c r="E27" s="1291"/>
      <c r="F27" s="1291"/>
      <c r="G27" s="1291"/>
      <c r="H27" s="1291"/>
      <c r="I27" s="1">
        <v>15</v>
      </c>
    </row>
    <row r="28" spans="1:9" ht="21" customHeight="1">
      <c r="A28" s="318"/>
      <c r="B28" s="1291" t="s">
        <v>100</v>
      </c>
      <c r="C28" s="1291"/>
      <c r="D28" s="1291"/>
      <c r="E28" s="1003"/>
      <c r="F28" s="1003"/>
      <c r="G28" s="1003"/>
      <c r="H28" s="1003"/>
      <c r="I28" s="1"/>
    </row>
    <row r="29" spans="1:9" ht="21" customHeight="1">
      <c r="A29" s="318">
        <v>4.9</v>
      </c>
      <c r="B29" s="1291" t="s">
        <v>366</v>
      </c>
      <c r="C29" s="1291"/>
      <c r="D29" s="1291"/>
      <c r="E29" s="1291"/>
      <c r="F29" s="1291"/>
      <c r="G29" s="1291"/>
      <c r="H29" s="1291"/>
      <c r="I29" s="1">
        <v>16</v>
      </c>
    </row>
    <row r="30" spans="1:9" ht="21" customHeight="1">
      <c r="A30" s="1001" t="s">
        <v>272</v>
      </c>
      <c r="B30" s="1296" t="s">
        <v>367</v>
      </c>
      <c r="C30" s="1296"/>
      <c r="D30" s="1296"/>
      <c r="E30" s="1296"/>
      <c r="F30" s="1296"/>
      <c r="G30" s="1296"/>
      <c r="H30" s="1296"/>
      <c r="I30" s="1">
        <v>16</v>
      </c>
    </row>
    <row r="31" spans="1:9" ht="21" customHeight="1">
      <c r="A31" s="999">
        <v>4.11</v>
      </c>
      <c r="B31" s="2" t="s">
        <v>462</v>
      </c>
      <c r="G31" s="999"/>
      <c r="I31" s="1">
        <v>17</v>
      </c>
    </row>
    <row r="32" spans="1:9" ht="21" customHeight="1">
      <c r="A32" s="1004">
        <v>4.12</v>
      </c>
      <c r="B32" s="2" t="s">
        <v>368</v>
      </c>
      <c r="I32" s="1">
        <v>18</v>
      </c>
    </row>
    <row r="33" spans="1:9" ht="21" customHeight="1">
      <c r="A33" s="999"/>
      <c r="I33" s="1"/>
    </row>
    <row r="34" spans="1:9" ht="30.75" customHeight="1">
      <c r="A34" s="999"/>
      <c r="I34" s="1"/>
    </row>
    <row r="35" spans="1:9" ht="21" customHeight="1">
      <c r="A35" s="1000"/>
      <c r="B35" s="1294" t="s">
        <v>273</v>
      </c>
      <c r="C35" s="1295"/>
      <c r="D35" s="1295"/>
      <c r="E35" s="1295"/>
      <c r="F35" s="1295"/>
      <c r="G35" s="1295"/>
      <c r="H35" s="1295"/>
      <c r="I35" s="1"/>
    </row>
    <row r="36" spans="1:9" ht="21" customHeight="1">
      <c r="A36" s="1001" t="s">
        <v>274</v>
      </c>
      <c r="B36" s="2" t="s">
        <v>369</v>
      </c>
      <c r="I36" s="1">
        <v>19</v>
      </c>
    </row>
    <row r="37" spans="1:9" ht="21" customHeight="1">
      <c r="A37" s="999">
        <v>5.2</v>
      </c>
      <c r="B37" s="1292" t="s">
        <v>370</v>
      </c>
      <c r="C37" s="1292"/>
      <c r="D37" s="1292"/>
      <c r="E37" s="1292"/>
      <c r="F37" s="1292"/>
      <c r="G37" s="1292"/>
      <c r="H37" s="1292"/>
      <c r="I37" s="1">
        <v>19</v>
      </c>
    </row>
    <row r="38" spans="1:9" ht="21" customHeight="1">
      <c r="A38" s="318">
        <v>5.3</v>
      </c>
      <c r="B38" s="1291" t="s">
        <v>371</v>
      </c>
      <c r="C38" s="1291"/>
      <c r="D38" s="1291"/>
      <c r="E38" s="1291"/>
      <c r="F38" s="1291"/>
      <c r="G38" s="1291"/>
      <c r="H38" s="1291"/>
      <c r="I38" s="1">
        <v>20</v>
      </c>
    </row>
    <row r="39" spans="1:9" ht="21" customHeight="1">
      <c r="A39" s="1001" t="s">
        <v>275</v>
      </c>
      <c r="B39" s="2" t="s">
        <v>372</v>
      </c>
      <c r="I39" s="1">
        <v>20</v>
      </c>
    </row>
    <row r="40" spans="1:9" ht="21" customHeight="1">
      <c r="A40" s="1001" t="s">
        <v>276</v>
      </c>
      <c r="B40" s="2" t="s">
        <v>373</v>
      </c>
      <c r="I40" s="1">
        <v>21</v>
      </c>
    </row>
    <row r="41" spans="1:9" ht="21" customHeight="1">
      <c r="A41" s="1001" t="s">
        <v>277</v>
      </c>
      <c r="B41" s="2" t="s">
        <v>374</v>
      </c>
      <c r="I41" s="1">
        <v>21</v>
      </c>
    </row>
    <row r="42" spans="1:9" ht="21" customHeight="1">
      <c r="A42" s="999">
        <v>5.7</v>
      </c>
      <c r="B42" s="1292" t="s">
        <v>375</v>
      </c>
      <c r="C42" s="1292"/>
      <c r="D42" s="1292"/>
      <c r="E42" s="1292"/>
      <c r="F42" s="1292"/>
      <c r="G42" s="1292"/>
      <c r="H42" s="1292"/>
      <c r="I42" s="1">
        <v>22</v>
      </c>
    </row>
    <row r="43" spans="1:8" ht="21" customHeight="1">
      <c r="A43" s="318">
        <v>5.8</v>
      </c>
      <c r="B43" s="1291" t="s">
        <v>278</v>
      </c>
      <c r="C43" s="1291"/>
      <c r="D43" s="1291"/>
      <c r="E43" s="1291"/>
      <c r="F43" s="1291"/>
      <c r="G43" s="1291"/>
      <c r="H43" s="1291"/>
    </row>
    <row r="44" spans="1:9" ht="21" customHeight="1">
      <c r="A44" s="1002"/>
      <c r="B44" s="1292" t="s">
        <v>376</v>
      </c>
      <c r="C44" s="1292"/>
      <c r="D44" s="1292"/>
      <c r="E44" s="1292"/>
      <c r="F44" s="1292"/>
      <c r="G44" s="1292"/>
      <c r="H44" s="1292"/>
      <c r="I44" s="1">
        <v>23</v>
      </c>
    </row>
    <row r="45" spans="1:9" ht="21" customHeight="1">
      <c r="A45" s="318">
        <v>5.9</v>
      </c>
      <c r="B45" s="1291" t="s">
        <v>377</v>
      </c>
      <c r="C45" s="1291"/>
      <c r="D45" s="1291"/>
      <c r="E45" s="1291"/>
      <c r="F45" s="1291"/>
      <c r="G45" s="1291"/>
      <c r="H45" s="1291"/>
      <c r="I45" s="1">
        <v>24</v>
      </c>
    </row>
    <row r="46" spans="1:9" ht="21" customHeight="1">
      <c r="A46" s="1001" t="s">
        <v>279</v>
      </c>
      <c r="B46" s="2" t="s">
        <v>378</v>
      </c>
      <c r="I46" s="1">
        <v>24</v>
      </c>
    </row>
    <row r="47" spans="1:9" ht="21" customHeight="1">
      <c r="A47" s="318">
        <v>5.11</v>
      </c>
      <c r="B47" s="1291" t="s">
        <v>317</v>
      </c>
      <c r="C47" s="1291"/>
      <c r="D47" s="1291"/>
      <c r="E47" s="1291"/>
      <c r="F47" s="1291"/>
      <c r="G47" s="1291"/>
      <c r="H47" s="1291"/>
      <c r="I47" s="1">
        <v>25</v>
      </c>
    </row>
    <row r="48" spans="1:9" ht="21" customHeight="1">
      <c r="A48" s="1028"/>
      <c r="B48" s="1291" t="s">
        <v>379</v>
      </c>
      <c r="C48" s="1291"/>
      <c r="D48" s="1291"/>
      <c r="E48" s="1003"/>
      <c r="F48" s="1003"/>
      <c r="G48" s="1003"/>
      <c r="H48" s="1003"/>
      <c r="I48" s="1"/>
    </row>
    <row r="49" spans="1:9" ht="21" customHeight="1">
      <c r="A49" s="1004">
        <v>5.12</v>
      </c>
      <c r="B49" s="1291" t="s">
        <v>380</v>
      </c>
      <c r="C49" s="1291"/>
      <c r="D49" s="1291"/>
      <c r="E49" s="1291"/>
      <c r="F49" s="1291"/>
      <c r="G49" s="1291"/>
      <c r="H49" s="1291"/>
      <c r="I49" s="1">
        <v>25</v>
      </c>
    </row>
    <row r="50" spans="1:9" ht="21" customHeight="1">
      <c r="A50" s="1005" t="s">
        <v>280</v>
      </c>
      <c r="B50" s="1293" t="s">
        <v>381</v>
      </c>
      <c r="C50" s="1293"/>
      <c r="D50" s="1293"/>
      <c r="E50" s="1293"/>
      <c r="F50" s="1293"/>
      <c r="G50" s="1293"/>
      <c r="H50" s="1293"/>
      <c r="I50" s="1006">
        <v>26</v>
      </c>
    </row>
    <row r="51" spans="1:9" ht="21" customHeight="1">
      <c r="A51" s="1001" t="s">
        <v>281</v>
      </c>
      <c r="B51" s="1292" t="s">
        <v>382</v>
      </c>
      <c r="C51" s="1292"/>
      <c r="D51" s="1292"/>
      <c r="E51" s="1292"/>
      <c r="F51" s="1292"/>
      <c r="G51" s="1292"/>
      <c r="H51" s="1292"/>
      <c r="I51" s="1">
        <v>26</v>
      </c>
    </row>
    <row r="52" spans="1:9" ht="21" customHeight="1">
      <c r="A52" s="1001" t="s">
        <v>282</v>
      </c>
      <c r="B52" s="1292" t="s">
        <v>383</v>
      </c>
      <c r="C52" s="1292"/>
      <c r="D52" s="1292"/>
      <c r="E52" s="1292"/>
      <c r="F52" s="1292"/>
      <c r="G52" s="1292"/>
      <c r="H52" s="1292"/>
      <c r="I52" s="1">
        <v>27</v>
      </c>
    </row>
    <row r="53" spans="1:8" ht="21" customHeight="1">
      <c r="A53" s="1001" t="s">
        <v>283</v>
      </c>
      <c r="B53" s="1292" t="s">
        <v>472</v>
      </c>
      <c r="C53" s="1292"/>
      <c r="D53" s="1292"/>
      <c r="E53" s="1292"/>
      <c r="F53" s="1292"/>
      <c r="G53" s="1292"/>
      <c r="H53" s="1292"/>
    </row>
    <row r="54" spans="1:9" ht="21" customHeight="1">
      <c r="A54" s="1001"/>
      <c r="B54" s="999" t="s">
        <v>376</v>
      </c>
      <c r="C54" s="999"/>
      <c r="D54" s="999"/>
      <c r="E54" s="999"/>
      <c r="F54" s="999"/>
      <c r="G54" s="999"/>
      <c r="H54" s="999"/>
      <c r="I54" s="1">
        <v>28</v>
      </c>
    </row>
    <row r="55" spans="1:9" ht="21" customHeight="1">
      <c r="A55" s="1001" t="s">
        <v>284</v>
      </c>
      <c r="B55" s="2" t="s">
        <v>384</v>
      </c>
      <c r="I55" s="1">
        <v>29</v>
      </c>
    </row>
    <row r="56" spans="1:9" ht="21" customHeight="1">
      <c r="A56" s="1001" t="s">
        <v>285</v>
      </c>
      <c r="B56" s="2" t="s">
        <v>385</v>
      </c>
      <c r="I56" s="1">
        <v>29</v>
      </c>
    </row>
    <row r="57" spans="1:8" ht="21" customHeight="1">
      <c r="A57" s="1029" t="s">
        <v>286</v>
      </c>
      <c r="B57" s="1291" t="s">
        <v>315</v>
      </c>
      <c r="C57" s="1291"/>
      <c r="D57" s="1291"/>
      <c r="E57" s="1291"/>
      <c r="F57" s="1291"/>
      <c r="G57" s="1291"/>
      <c r="H57" s="1291"/>
    </row>
    <row r="58" spans="1:9" ht="21" customHeight="1">
      <c r="A58" s="1029"/>
      <c r="B58" s="1291" t="s">
        <v>386</v>
      </c>
      <c r="C58" s="1291"/>
      <c r="D58" s="1003"/>
      <c r="E58" s="1003"/>
      <c r="F58" s="1003"/>
      <c r="G58" s="1003"/>
      <c r="H58" s="1003"/>
      <c r="I58" s="1">
        <v>30</v>
      </c>
    </row>
    <row r="59" spans="1:8" s="3" customFormat="1" ht="21" customHeight="1">
      <c r="A59" s="1029" t="s">
        <v>287</v>
      </c>
      <c r="B59" s="1291" t="s">
        <v>316</v>
      </c>
      <c r="C59" s="1291"/>
      <c r="D59" s="1291"/>
      <c r="E59" s="1291"/>
      <c r="F59" s="1291"/>
      <c r="G59" s="1291"/>
      <c r="H59" s="1291"/>
    </row>
    <row r="60" spans="1:9" s="3" customFormat="1" ht="21" customHeight="1">
      <c r="A60" s="1029"/>
      <c r="B60" s="1291" t="s">
        <v>387</v>
      </c>
      <c r="C60" s="1291"/>
      <c r="D60" s="1291"/>
      <c r="E60" s="1003"/>
      <c r="F60" s="1003"/>
      <c r="G60" s="1003"/>
      <c r="H60" s="1003"/>
      <c r="I60" s="1">
        <v>31</v>
      </c>
    </row>
    <row r="61" spans="1:9" s="3" customFormat="1" ht="21" customHeight="1">
      <c r="A61" s="1029"/>
      <c r="B61" s="1003"/>
      <c r="C61" s="1003"/>
      <c r="D61" s="1003"/>
      <c r="E61" s="1003"/>
      <c r="F61" s="1003"/>
      <c r="G61" s="1003"/>
      <c r="H61" s="1003"/>
      <c r="I61" s="1"/>
    </row>
    <row r="62" spans="1:9" ht="21" customHeight="1">
      <c r="A62" s="1000"/>
      <c r="B62" s="1290" t="s">
        <v>288</v>
      </c>
      <c r="C62" s="1290"/>
      <c r="D62" s="1290"/>
      <c r="E62" s="1290"/>
      <c r="F62" s="1290"/>
      <c r="G62" s="1290"/>
      <c r="H62" s="1290"/>
      <c r="I62" s="1"/>
    </row>
    <row r="63" spans="1:8" ht="21" customHeight="1">
      <c r="A63" s="1003" t="s">
        <v>289</v>
      </c>
      <c r="B63" s="1291" t="s">
        <v>290</v>
      </c>
      <c r="C63" s="1291"/>
      <c r="D63" s="1291"/>
      <c r="E63" s="1291"/>
      <c r="F63" s="1291"/>
      <c r="G63" s="1291"/>
      <c r="H63" s="1291"/>
    </row>
    <row r="64" spans="1:9" ht="21" customHeight="1">
      <c r="A64" s="1007"/>
      <c r="B64" s="1289" t="s">
        <v>322</v>
      </c>
      <c r="C64" s="1289"/>
      <c r="D64" s="1289"/>
      <c r="E64" s="1289"/>
      <c r="F64" s="1289"/>
      <c r="G64" s="1289"/>
      <c r="H64" s="1289"/>
      <c r="I64" s="1">
        <v>32</v>
      </c>
    </row>
    <row r="65" spans="1:9" ht="21" customHeight="1">
      <c r="A65" s="1003" t="s">
        <v>291</v>
      </c>
      <c r="B65" s="1291" t="s">
        <v>290</v>
      </c>
      <c r="C65" s="1291"/>
      <c r="D65" s="1291"/>
      <c r="E65" s="1291"/>
      <c r="F65" s="1291"/>
      <c r="G65" s="1291"/>
      <c r="H65" s="1291"/>
      <c r="I65" s="3"/>
    </row>
    <row r="66" spans="1:9" ht="21" customHeight="1">
      <c r="A66" s="1007"/>
      <c r="B66" s="1289" t="s">
        <v>459</v>
      </c>
      <c r="C66" s="1289"/>
      <c r="D66" s="1289"/>
      <c r="E66" s="1289"/>
      <c r="F66" s="1289"/>
      <c r="G66" s="1289"/>
      <c r="H66" s="1289"/>
      <c r="I66" s="1">
        <v>33</v>
      </c>
    </row>
    <row r="67" spans="1:9" ht="21" customHeight="1">
      <c r="A67" s="1001"/>
      <c r="I67" s="1"/>
    </row>
    <row r="68" spans="1:9" ht="21" customHeight="1">
      <c r="A68" s="1001"/>
      <c r="B68" s="7"/>
      <c r="I68" s="1"/>
    </row>
    <row r="69" ht="14.25" customHeight="1">
      <c r="I69" s="1"/>
    </row>
    <row r="70" spans="1:9" ht="21" customHeight="1">
      <c r="A70" s="1001"/>
      <c r="I70" s="1"/>
    </row>
    <row r="71" ht="14.25" customHeight="1">
      <c r="I71" s="1"/>
    </row>
    <row r="72" spans="1:9" ht="21" customHeight="1">
      <c r="A72" s="1001"/>
      <c r="I72" s="1"/>
    </row>
    <row r="73" ht="14.25" customHeight="1">
      <c r="I73" s="1"/>
    </row>
    <row r="74" spans="1:9" ht="21" customHeight="1">
      <c r="A74" s="1001"/>
      <c r="I74" s="1"/>
    </row>
    <row r="75" spans="1:9" ht="21" customHeight="1">
      <c r="A75" s="1001"/>
      <c r="I75" s="1"/>
    </row>
    <row r="76" spans="1:9" ht="21" customHeight="1">
      <c r="A76" s="1001"/>
      <c r="I76" s="1"/>
    </row>
    <row r="77" spans="1:9" ht="21" customHeight="1">
      <c r="A77" s="1001"/>
      <c r="I77" s="1"/>
    </row>
    <row r="78" spans="1:9" ht="21" customHeight="1">
      <c r="A78" s="1001"/>
      <c r="I78" s="1"/>
    </row>
    <row r="79" ht="14.25" customHeight="1">
      <c r="I79" s="1"/>
    </row>
    <row r="80" spans="1:9" ht="21" customHeight="1">
      <c r="A80" s="1001"/>
      <c r="I80" s="1"/>
    </row>
    <row r="81" ht="14.25" customHeight="1">
      <c r="I81" s="1"/>
    </row>
    <row r="82" spans="1:9" ht="21" customHeight="1">
      <c r="A82" s="1001"/>
      <c r="I82" s="1"/>
    </row>
    <row r="83" ht="14.25" customHeight="1">
      <c r="I83" s="1"/>
    </row>
    <row r="84" spans="1:9" ht="21" customHeight="1">
      <c r="A84" s="1001"/>
      <c r="I84" s="1"/>
    </row>
    <row r="85" spans="1:9" ht="14.25" customHeight="1">
      <c r="A85" s="1001"/>
      <c r="I85" s="1"/>
    </row>
    <row r="86" spans="1:9" ht="21.75" customHeight="1">
      <c r="A86" s="1001"/>
      <c r="I86" s="1"/>
    </row>
    <row r="87" spans="1:9" ht="21.75" customHeight="1">
      <c r="A87" s="1001"/>
      <c r="I87" s="1"/>
    </row>
    <row r="88" ht="14.25" customHeight="1">
      <c r="I88" s="1"/>
    </row>
    <row r="89" spans="1:9" ht="21" customHeight="1">
      <c r="A89" s="1001"/>
      <c r="I89" s="1"/>
    </row>
    <row r="90" spans="1:9" ht="14.25" customHeight="1">
      <c r="A90" s="1001"/>
      <c r="I90" s="1"/>
    </row>
    <row r="91" spans="1:9" ht="21" customHeight="1">
      <c r="A91" s="1001"/>
      <c r="I91" s="1"/>
    </row>
    <row r="92" ht="14.25" customHeight="1">
      <c r="I92" s="1"/>
    </row>
    <row r="93" spans="1:9" ht="21.75" customHeight="1">
      <c r="A93" s="1001"/>
      <c r="I93" s="1"/>
    </row>
    <row r="94" ht="21" customHeight="1">
      <c r="I94" s="1"/>
    </row>
    <row r="95" ht="21" customHeight="1">
      <c r="I95" s="1"/>
    </row>
    <row r="96" ht="15">
      <c r="I96" s="1"/>
    </row>
    <row r="97" ht="15">
      <c r="I97" s="1"/>
    </row>
    <row r="98" ht="15">
      <c r="I98" s="1"/>
    </row>
    <row r="99" ht="15">
      <c r="I99" s="1"/>
    </row>
    <row r="100" ht="15">
      <c r="I100" s="1"/>
    </row>
    <row r="101" ht="15">
      <c r="I101" s="1"/>
    </row>
    <row r="102" ht="15">
      <c r="I102" s="1"/>
    </row>
    <row r="103" ht="15">
      <c r="I103" s="1"/>
    </row>
    <row r="104" ht="15">
      <c r="I104" s="1"/>
    </row>
    <row r="105" ht="15">
      <c r="I105" s="1"/>
    </row>
    <row r="106" ht="15">
      <c r="I106" s="1"/>
    </row>
    <row r="107" ht="15">
      <c r="I107" s="1"/>
    </row>
    <row r="108" ht="15">
      <c r="I108" s="1"/>
    </row>
    <row r="109" ht="15">
      <c r="I109" s="1"/>
    </row>
    <row r="110" ht="15">
      <c r="I110" s="1"/>
    </row>
    <row r="111" ht="15">
      <c r="I111" s="1"/>
    </row>
    <row r="112" ht="15">
      <c r="I112" s="1"/>
    </row>
    <row r="113" ht="15">
      <c r="I113" s="1"/>
    </row>
    <row r="114" ht="15">
      <c r="I114" s="1"/>
    </row>
    <row r="115" ht="15">
      <c r="I115" s="1"/>
    </row>
    <row r="116" ht="15">
      <c r="I116" s="1"/>
    </row>
    <row r="117" ht="15">
      <c r="I117" s="1"/>
    </row>
    <row r="118" ht="15">
      <c r="I118" s="1"/>
    </row>
    <row r="119" ht="15">
      <c r="I119" s="1"/>
    </row>
    <row r="120" ht="15">
      <c r="I120" s="1"/>
    </row>
    <row r="121" ht="15">
      <c r="I121" s="1"/>
    </row>
    <row r="122" ht="15">
      <c r="I122" s="1"/>
    </row>
    <row r="123" ht="15">
      <c r="I123" s="1"/>
    </row>
    <row r="124" ht="15">
      <c r="I124" s="1"/>
    </row>
    <row r="125" ht="15">
      <c r="I125" s="1"/>
    </row>
    <row r="126" ht="15">
      <c r="I126" s="1"/>
    </row>
    <row r="127" ht="15">
      <c r="I127" s="1"/>
    </row>
    <row r="128" ht="15">
      <c r="I128" s="1"/>
    </row>
    <row r="129" ht="15">
      <c r="I129" s="1"/>
    </row>
    <row r="130" ht="15">
      <c r="I130" s="1"/>
    </row>
    <row r="131" ht="15">
      <c r="I131" s="1"/>
    </row>
    <row r="132" ht="15">
      <c r="I132" s="1"/>
    </row>
    <row r="133" ht="15">
      <c r="I133" s="1"/>
    </row>
    <row r="134" ht="15">
      <c r="I134" s="1"/>
    </row>
    <row r="135" ht="15">
      <c r="I135" s="1"/>
    </row>
    <row r="136" ht="15">
      <c r="I136" s="1"/>
    </row>
    <row r="137" ht="15">
      <c r="I137" s="1"/>
    </row>
    <row r="138" ht="15">
      <c r="I138" s="1"/>
    </row>
    <row r="139" ht="15">
      <c r="I139" s="1"/>
    </row>
    <row r="140" ht="15">
      <c r="I140" s="1"/>
    </row>
    <row r="141" ht="15">
      <c r="I141" s="1"/>
    </row>
    <row r="142" ht="15">
      <c r="I142" s="1"/>
    </row>
    <row r="143" ht="15">
      <c r="I143" s="1"/>
    </row>
    <row r="144" ht="15">
      <c r="I144" s="1"/>
    </row>
    <row r="145" ht="15">
      <c r="I145" s="1"/>
    </row>
    <row r="146" ht="15">
      <c r="I146" s="1"/>
    </row>
    <row r="147" ht="15">
      <c r="I147" s="1"/>
    </row>
    <row r="148" ht="15">
      <c r="I148" s="1"/>
    </row>
    <row r="149" ht="15">
      <c r="I149" s="1"/>
    </row>
    <row r="150" ht="15">
      <c r="I150" s="1"/>
    </row>
    <row r="151" ht="15">
      <c r="I151" s="1"/>
    </row>
    <row r="152" ht="15">
      <c r="I152" s="1"/>
    </row>
    <row r="153" ht="15">
      <c r="I153" s="1"/>
    </row>
    <row r="154" ht="15">
      <c r="I154" s="1"/>
    </row>
    <row r="155" ht="15">
      <c r="I155" s="1"/>
    </row>
    <row r="156" ht="15">
      <c r="I156" s="1"/>
    </row>
    <row r="157" ht="15">
      <c r="I157" s="1"/>
    </row>
    <row r="158" ht="15">
      <c r="I158" s="1"/>
    </row>
    <row r="159" ht="15">
      <c r="I159" s="1"/>
    </row>
    <row r="160" ht="15">
      <c r="I160" s="1"/>
    </row>
    <row r="161" ht="15">
      <c r="I161" s="1"/>
    </row>
    <row r="162" ht="15">
      <c r="I162" s="1"/>
    </row>
    <row r="163" ht="15">
      <c r="I163" s="1"/>
    </row>
    <row r="164" ht="15">
      <c r="I164" s="1"/>
    </row>
    <row r="165" ht="15">
      <c r="I165" s="1"/>
    </row>
    <row r="166" ht="15">
      <c r="I166" s="1"/>
    </row>
    <row r="167" ht="15">
      <c r="I167" s="1"/>
    </row>
    <row r="168" ht="15">
      <c r="I168" s="1"/>
    </row>
    <row r="169" ht="15">
      <c r="I169" s="1"/>
    </row>
    <row r="170" ht="15">
      <c r="I170" s="1"/>
    </row>
    <row r="171" ht="15">
      <c r="I171" s="1"/>
    </row>
    <row r="172" ht="15">
      <c r="I172" s="1"/>
    </row>
    <row r="173" ht="15">
      <c r="I173" s="1"/>
    </row>
    <row r="174" ht="15">
      <c r="I174" s="1"/>
    </row>
    <row r="175" ht="15">
      <c r="I175" s="1"/>
    </row>
    <row r="176" ht="15">
      <c r="I176" s="1"/>
    </row>
    <row r="177" ht="15">
      <c r="I177" s="1"/>
    </row>
    <row r="178" ht="15">
      <c r="I178" s="1"/>
    </row>
    <row r="179" ht="15">
      <c r="I179" s="1"/>
    </row>
    <row r="180" ht="15">
      <c r="I180" s="1"/>
    </row>
    <row r="181" ht="15">
      <c r="I181" s="1"/>
    </row>
    <row r="182" ht="15">
      <c r="I182" s="1"/>
    </row>
    <row r="183" ht="15">
      <c r="I183" s="1"/>
    </row>
    <row r="184" ht="15">
      <c r="I184" s="1"/>
    </row>
    <row r="185" ht="15">
      <c r="I185" s="1"/>
    </row>
    <row r="186" ht="15">
      <c r="I186" s="1"/>
    </row>
    <row r="187" ht="15">
      <c r="I187" s="1"/>
    </row>
    <row r="188" ht="15">
      <c r="I188" s="1"/>
    </row>
    <row r="189" ht="15">
      <c r="I189" s="1"/>
    </row>
    <row r="190" ht="15">
      <c r="I190" s="1"/>
    </row>
    <row r="191" ht="15">
      <c r="I191" s="1"/>
    </row>
    <row r="192" ht="15">
      <c r="I192" s="1"/>
    </row>
    <row r="193" ht="15">
      <c r="I193" s="1"/>
    </row>
    <row r="194" ht="15">
      <c r="I194" s="1"/>
    </row>
    <row r="195" ht="15">
      <c r="I195" s="1"/>
    </row>
    <row r="196" ht="15">
      <c r="I196" s="1"/>
    </row>
    <row r="197" ht="15">
      <c r="I197" s="1"/>
    </row>
    <row r="198" ht="15">
      <c r="I198" s="1"/>
    </row>
    <row r="199" ht="15">
      <c r="I199" s="1"/>
    </row>
    <row r="200" ht="15">
      <c r="I200" s="1"/>
    </row>
    <row r="201" ht="15">
      <c r="I201" s="1"/>
    </row>
    <row r="202" ht="15">
      <c r="I202" s="1"/>
    </row>
    <row r="203" ht="15">
      <c r="I203" s="1"/>
    </row>
    <row r="204" ht="15">
      <c r="I204" s="1"/>
    </row>
    <row r="205" ht="15">
      <c r="I205" s="1"/>
    </row>
    <row r="206" ht="15">
      <c r="I206" s="1"/>
    </row>
    <row r="207" ht="15">
      <c r="I207" s="1"/>
    </row>
    <row r="208" ht="15">
      <c r="I208" s="1"/>
    </row>
    <row r="209" ht="15">
      <c r="I209" s="1"/>
    </row>
    <row r="210" ht="15">
      <c r="I210" s="1"/>
    </row>
    <row r="211" ht="15">
      <c r="I211" s="1"/>
    </row>
    <row r="212" ht="15">
      <c r="I212" s="1"/>
    </row>
    <row r="213" ht="15">
      <c r="I213" s="1"/>
    </row>
    <row r="214" ht="15">
      <c r="I214" s="1"/>
    </row>
    <row r="215" ht="15">
      <c r="I215" s="1"/>
    </row>
    <row r="216" ht="15">
      <c r="I216" s="1"/>
    </row>
    <row r="217" ht="15">
      <c r="I217" s="1"/>
    </row>
    <row r="218" ht="15">
      <c r="I218" s="1"/>
    </row>
    <row r="219" ht="15">
      <c r="I219" s="1"/>
    </row>
    <row r="220" ht="15">
      <c r="I220" s="1"/>
    </row>
    <row r="221" ht="15">
      <c r="I221" s="1"/>
    </row>
    <row r="222" ht="15">
      <c r="I222" s="1"/>
    </row>
    <row r="223" ht="15">
      <c r="I223" s="1"/>
    </row>
    <row r="224" ht="15">
      <c r="I224" s="1"/>
    </row>
    <row r="225" ht="15">
      <c r="I225" s="1"/>
    </row>
    <row r="226" ht="15">
      <c r="I226" s="1"/>
    </row>
    <row r="227" ht="15">
      <c r="I227" s="1"/>
    </row>
    <row r="228" ht="15">
      <c r="I228" s="1"/>
    </row>
    <row r="229" ht="15">
      <c r="I229" s="1"/>
    </row>
    <row r="230" ht="15">
      <c r="I230" s="1"/>
    </row>
    <row r="231" ht="15">
      <c r="I231" s="1"/>
    </row>
    <row r="232" ht="15">
      <c r="I232" s="1"/>
    </row>
    <row r="233" ht="15">
      <c r="I233" s="1"/>
    </row>
    <row r="234" ht="15">
      <c r="I234" s="1"/>
    </row>
    <row r="235" ht="15">
      <c r="I235" s="1"/>
    </row>
    <row r="236" ht="15">
      <c r="I236" s="1"/>
    </row>
    <row r="237" ht="15">
      <c r="I237" s="1"/>
    </row>
    <row r="238" ht="15">
      <c r="I238" s="1"/>
    </row>
    <row r="239" ht="15">
      <c r="I239" s="1"/>
    </row>
    <row r="240" ht="15">
      <c r="I240" s="1"/>
    </row>
    <row r="241" ht="15">
      <c r="I241" s="1"/>
    </row>
    <row r="242" ht="15">
      <c r="I242" s="1"/>
    </row>
    <row r="243" ht="15">
      <c r="I243" s="1"/>
    </row>
    <row r="244" ht="15">
      <c r="I244" s="1"/>
    </row>
    <row r="245" ht="15">
      <c r="I245" s="1"/>
    </row>
    <row r="246" ht="15">
      <c r="I246" s="1"/>
    </row>
    <row r="247" ht="15">
      <c r="I247" s="1"/>
    </row>
    <row r="248" ht="15">
      <c r="I248" s="1"/>
    </row>
    <row r="249" ht="15">
      <c r="I249" s="1"/>
    </row>
    <row r="250" ht="15">
      <c r="I250" s="1"/>
    </row>
    <row r="251" ht="15">
      <c r="I251" s="1"/>
    </row>
    <row r="252" ht="15">
      <c r="I252" s="1"/>
    </row>
    <row r="253" ht="15">
      <c r="I253" s="1"/>
    </row>
    <row r="254" ht="15">
      <c r="I254" s="1"/>
    </row>
    <row r="255" ht="15">
      <c r="I255" s="1"/>
    </row>
    <row r="256" ht="15">
      <c r="I256" s="1"/>
    </row>
    <row r="257" ht="15">
      <c r="I257" s="1"/>
    </row>
    <row r="258" ht="15">
      <c r="I258" s="1"/>
    </row>
    <row r="259" ht="15">
      <c r="I259" s="1"/>
    </row>
    <row r="260" ht="15">
      <c r="I260" s="1"/>
    </row>
    <row r="261" ht="15">
      <c r="I261" s="1"/>
    </row>
    <row r="262" ht="15">
      <c r="I262" s="1"/>
    </row>
    <row r="263" ht="15">
      <c r="I263" s="1"/>
    </row>
    <row r="264" ht="15">
      <c r="I264" s="1"/>
    </row>
    <row r="265" ht="15">
      <c r="I265" s="1"/>
    </row>
    <row r="266" ht="15">
      <c r="I266" s="1"/>
    </row>
    <row r="267" ht="15">
      <c r="I267" s="1"/>
    </row>
    <row r="268" ht="15">
      <c r="I268" s="1"/>
    </row>
    <row r="269" ht="15">
      <c r="I269" s="1"/>
    </row>
    <row r="270" ht="15">
      <c r="I270" s="1"/>
    </row>
    <row r="271" ht="15">
      <c r="I271" s="1"/>
    </row>
    <row r="272" ht="15">
      <c r="I272" s="1"/>
    </row>
    <row r="273" ht="15">
      <c r="I273" s="1"/>
    </row>
    <row r="274" ht="15">
      <c r="I274" s="1"/>
    </row>
    <row r="275" ht="15">
      <c r="I275" s="1"/>
    </row>
    <row r="276" ht="15">
      <c r="I276" s="1"/>
    </row>
    <row r="277" ht="15">
      <c r="I277" s="1"/>
    </row>
    <row r="278" ht="15">
      <c r="I278" s="1"/>
    </row>
    <row r="279" ht="15">
      <c r="I279" s="1"/>
    </row>
    <row r="280" ht="15">
      <c r="I280" s="1"/>
    </row>
    <row r="281" ht="15">
      <c r="I281" s="1"/>
    </row>
    <row r="282" ht="15">
      <c r="I282" s="1"/>
    </row>
    <row r="283" ht="15">
      <c r="I283" s="1"/>
    </row>
    <row r="284" ht="15">
      <c r="I284" s="1"/>
    </row>
    <row r="285" ht="15">
      <c r="I285" s="1"/>
    </row>
    <row r="286" ht="15">
      <c r="I286" s="1"/>
    </row>
    <row r="287" ht="15">
      <c r="I287" s="1"/>
    </row>
    <row r="288" ht="15">
      <c r="I288" s="1"/>
    </row>
    <row r="289" ht="15">
      <c r="I289" s="1"/>
    </row>
    <row r="290" ht="15">
      <c r="I290" s="1"/>
    </row>
    <row r="291" ht="15">
      <c r="I291" s="1"/>
    </row>
    <row r="292" ht="15">
      <c r="I292" s="1"/>
    </row>
    <row r="293" ht="15">
      <c r="I293" s="1"/>
    </row>
    <row r="294" ht="15">
      <c r="I294" s="1"/>
    </row>
    <row r="295" ht="15">
      <c r="I295" s="1"/>
    </row>
    <row r="296" ht="15">
      <c r="I296" s="1"/>
    </row>
    <row r="297" ht="15">
      <c r="I297" s="1"/>
    </row>
    <row r="298" ht="15">
      <c r="I298" s="1"/>
    </row>
    <row r="299" ht="15">
      <c r="I299" s="1"/>
    </row>
    <row r="300" ht="15">
      <c r="I300" s="1"/>
    </row>
    <row r="301" ht="15">
      <c r="I301" s="1"/>
    </row>
    <row r="302" ht="15">
      <c r="I302" s="1"/>
    </row>
  </sheetData>
  <sheetProtection/>
  <mergeCells count="44">
    <mergeCell ref="B60:D60"/>
    <mergeCell ref="B48:D48"/>
    <mergeCell ref="A1:I1"/>
    <mergeCell ref="A2:H3"/>
    <mergeCell ref="B4:H4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7:H17"/>
    <mergeCell ref="B19:H19"/>
    <mergeCell ref="B44:H44"/>
    <mergeCell ref="B24:H24"/>
    <mergeCell ref="B25:H25"/>
    <mergeCell ref="B26:H26"/>
    <mergeCell ref="B27:H27"/>
    <mergeCell ref="B29:H29"/>
    <mergeCell ref="B30:H30"/>
    <mergeCell ref="B28:D28"/>
    <mergeCell ref="B49:H49"/>
    <mergeCell ref="B50:H50"/>
    <mergeCell ref="B51:H51"/>
    <mergeCell ref="B52:H52"/>
    <mergeCell ref="B58:C58"/>
    <mergeCell ref="B35:H35"/>
    <mergeCell ref="B37:H37"/>
    <mergeCell ref="B38:H38"/>
    <mergeCell ref="B42:H42"/>
    <mergeCell ref="B43:H43"/>
    <mergeCell ref="B66:H66"/>
    <mergeCell ref="B62:H62"/>
    <mergeCell ref="B63:H63"/>
    <mergeCell ref="B64:H64"/>
    <mergeCell ref="B65:H65"/>
    <mergeCell ref="B45:H45"/>
    <mergeCell ref="B47:H47"/>
    <mergeCell ref="B53:H53"/>
    <mergeCell ref="B57:H57"/>
    <mergeCell ref="B59:H59"/>
  </mergeCells>
  <printOptions/>
  <pageMargins left="0.69" right="0.25" top="0.5" bottom="0.5" header="0.5" footer="0.5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U31" sqref="U31"/>
    </sheetView>
  </sheetViews>
  <sheetFormatPr defaultColWidth="9.140625" defaultRowHeight="12.75"/>
  <cols>
    <col min="1" max="1" width="2.57421875" style="208" customWidth="1"/>
    <col min="2" max="2" width="1.7109375" style="208" customWidth="1"/>
    <col min="3" max="3" width="13.140625" style="208" customWidth="1"/>
    <col min="4" max="6" width="13.140625" style="208" hidden="1" customWidth="1"/>
    <col min="7" max="12" width="8.140625" style="208" hidden="1" customWidth="1"/>
    <col min="13" max="15" width="8.140625" style="208" customWidth="1"/>
    <col min="16" max="16384" width="9.140625" style="208" customWidth="1"/>
  </cols>
  <sheetData>
    <row r="1" ht="24" customHeight="1">
      <c r="A1" s="207" t="s">
        <v>400</v>
      </c>
    </row>
    <row r="2" spans="1:6" ht="20.25" customHeight="1">
      <c r="A2" s="1088" t="s">
        <v>100</v>
      </c>
      <c r="C2" s="209"/>
      <c r="D2" s="209"/>
      <c r="E2" s="209"/>
      <c r="F2" s="209"/>
    </row>
    <row r="3" spans="1:21" ht="16.5" customHeight="1">
      <c r="A3" s="1456" t="s">
        <v>96</v>
      </c>
      <c r="B3" s="1457"/>
      <c r="C3" s="1458"/>
      <c r="D3" s="210">
        <v>2005</v>
      </c>
      <c r="E3" s="210"/>
      <c r="F3" s="211"/>
      <c r="G3" s="210">
        <v>2006</v>
      </c>
      <c r="H3" s="210"/>
      <c r="I3" s="211"/>
      <c r="J3" s="1462">
        <v>2007</v>
      </c>
      <c r="K3" s="1463"/>
      <c r="L3" s="1464"/>
      <c r="M3" s="1462">
        <v>2008</v>
      </c>
      <c r="N3" s="1463"/>
      <c r="O3" s="1464"/>
      <c r="P3" s="1462">
        <v>2009</v>
      </c>
      <c r="Q3" s="1463"/>
      <c r="R3" s="1464"/>
      <c r="S3" s="1462">
        <v>2010</v>
      </c>
      <c r="T3" s="1463"/>
      <c r="U3" s="1464"/>
    </row>
    <row r="4" spans="1:21" ht="16.5" customHeight="1">
      <c r="A4" s="1459"/>
      <c r="B4" s="1460"/>
      <c r="C4" s="1461"/>
      <c r="D4" s="212" t="s">
        <v>5</v>
      </c>
      <c r="E4" s="212" t="s">
        <v>39</v>
      </c>
      <c r="F4" s="213" t="s">
        <v>40</v>
      </c>
      <c r="G4" s="212" t="s">
        <v>5</v>
      </c>
      <c r="H4" s="212" t="s">
        <v>39</v>
      </c>
      <c r="I4" s="213" t="s">
        <v>40</v>
      </c>
      <c r="J4" s="214" t="s">
        <v>5</v>
      </c>
      <c r="K4" s="215" t="s">
        <v>39</v>
      </c>
      <c r="L4" s="216" t="s">
        <v>40</v>
      </c>
      <c r="M4" s="1025" t="s">
        <v>5</v>
      </c>
      <c r="N4" s="215" t="s">
        <v>39</v>
      </c>
      <c r="O4" s="216" t="s">
        <v>40</v>
      </c>
      <c r="P4" s="1025" t="s">
        <v>5</v>
      </c>
      <c r="Q4" s="215" t="s">
        <v>39</v>
      </c>
      <c r="R4" s="216" t="s">
        <v>40</v>
      </c>
      <c r="S4" s="1025" t="s">
        <v>5</v>
      </c>
      <c r="T4" s="215" t="s">
        <v>39</v>
      </c>
      <c r="U4" s="216" t="s">
        <v>40</v>
      </c>
    </row>
    <row r="5" spans="1:21" ht="19.5" customHeight="1">
      <c r="A5" s="217" t="s">
        <v>101</v>
      </c>
      <c r="B5" s="218"/>
      <c r="C5" s="218"/>
      <c r="D5" s="219"/>
      <c r="E5" s="219"/>
      <c r="F5" s="219"/>
      <c r="G5" s="220"/>
      <c r="H5" s="220"/>
      <c r="I5" s="220"/>
      <c r="J5" s="221"/>
      <c r="K5" s="222"/>
      <c r="L5" s="221"/>
      <c r="M5" s="221"/>
      <c r="N5" s="222"/>
      <c r="O5" s="223"/>
      <c r="P5" s="221"/>
      <c r="Q5" s="222"/>
      <c r="R5" s="223"/>
      <c r="S5" s="221"/>
      <c r="T5" s="222"/>
      <c r="U5" s="223"/>
    </row>
    <row r="6" spans="1:21" ht="25.5" customHeight="1">
      <c r="A6" s="224" t="s">
        <v>97</v>
      </c>
      <c r="B6" s="225"/>
      <c r="C6" s="226" t="s">
        <v>83</v>
      </c>
      <c r="D6" s="227">
        <f>SUM(E6:F6)</f>
        <v>19525</v>
      </c>
      <c r="E6" s="228">
        <v>9928</v>
      </c>
      <c r="F6" s="229">
        <v>9597</v>
      </c>
      <c r="G6" s="227">
        <f>SUM(H6:I6)</f>
        <v>19437</v>
      </c>
      <c r="H6" s="228">
        <v>9861</v>
      </c>
      <c r="I6" s="229">
        <v>9576</v>
      </c>
      <c r="J6" s="230">
        <f aca="true" t="shared" si="0" ref="J6:J12">K6+L6</f>
        <v>18831</v>
      </c>
      <c r="K6" s="231">
        <f aca="true" t="shared" si="1" ref="K6:L12">K15+K24</f>
        <v>9465</v>
      </c>
      <c r="L6" s="232">
        <f t="shared" si="1"/>
        <v>9366</v>
      </c>
      <c r="M6" s="238">
        <f aca="true" t="shared" si="2" ref="M6:M12">N6+O6</f>
        <v>19048</v>
      </c>
      <c r="N6" s="231">
        <f>N15+N24</f>
        <v>9587</v>
      </c>
      <c r="O6" s="232">
        <f>O15+O24</f>
        <v>9461</v>
      </c>
      <c r="P6" s="238">
        <f aca="true" t="shared" si="3" ref="P6:P12">Q6+R6</f>
        <v>18613</v>
      </c>
      <c r="Q6" s="231">
        <f aca="true" t="shared" si="4" ref="Q6:R12">Q15+Q24</f>
        <v>9452</v>
      </c>
      <c r="R6" s="232">
        <f t="shared" si="4"/>
        <v>9161</v>
      </c>
      <c r="S6" s="238">
        <f aca="true" t="shared" si="5" ref="S6:S12">T6+U6</f>
        <v>18327</v>
      </c>
      <c r="T6" s="231">
        <f aca="true" t="shared" si="6" ref="T6:U12">T15+T24</f>
        <v>9182</v>
      </c>
      <c r="U6" s="232">
        <f t="shared" si="6"/>
        <v>9145</v>
      </c>
    </row>
    <row r="7" spans="1:21" ht="25.5" customHeight="1">
      <c r="A7" s="233"/>
      <c r="B7" s="218"/>
      <c r="C7" s="234" t="s">
        <v>84</v>
      </c>
      <c r="D7" s="235">
        <f aca="true" t="shared" si="7" ref="D7:D12">SUM(E7:F7)</f>
        <v>18578</v>
      </c>
      <c r="E7" s="236">
        <v>9420</v>
      </c>
      <c r="F7" s="237">
        <v>9158</v>
      </c>
      <c r="G7" s="235">
        <f aca="true" t="shared" si="8" ref="G7:G12">SUM(H7:I7)</f>
        <v>19623</v>
      </c>
      <c r="H7" s="236">
        <v>9937</v>
      </c>
      <c r="I7" s="237">
        <v>9686</v>
      </c>
      <c r="J7" s="238">
        <f t="shared" si="0"/>
        <v>19468</v>
      </c>
      <c r="K7" s="239">
        <f t="shared" si="1"/>
        <v>9850</v>
      </c>
      <c r="L7" s="240">
        <f t="shared" si="1"/>
        <v>9618</v>
      </c>
      <c r="M7" s="238">
        <f t="shared" si="2"/>
        <v>18915</v>
      </c>
      <c r="N7" s="239">
        <f aca="true" t="shared" si="9" ref="N7:O12">N16+N25</f>
        <v>9533</v>
      </c>
      <c r="O7" s="240">
        <f t="shared" si="9"/>
        <v>9382</v>
      </c>
      <c r="P7" s="238">
        <f t="shared" si="3"/>
        <v>19121</v>
      </c>
      <c r="Q7" s="239">
        <f t="shared" si="4"/>
        <v>9604</v>
      </c>
      <c r="R7" s="240">
        <f t="shared" si="4"/>
        <v>9517</v>
      </c>
      <c r="S7" s="238">
        <f t="shared" si="5"/>
        <v>18522</v>
      </c>
      <c r="T7" s="239">
        <f t="shared" si="6"/>
        <v>9380</v>
      </c>
      <c r="U7" s="240">
        <f t="shared" si="6"/>
        <v>9142</v>
      </c>
    </row>
    <row r="8" spans="1:21" ht="25.5" customHeight="1">
      <c r="A8" s="233"/>
      <c r="B8" s="218"/>
      <c r="C8" s="234" t="s">
        <v>85</v>
      </c>
      <c r="D8" s="235">
        <f t="shared" si="7"/>
        <v>19179</v>
      </c>
      <c r="E8" s="236">
        <v>9733</v>
      </c>
      <c r="F8" s="237">
        <v>9446</v>
      </c>
      <c r="G8" s="235">
        <f t="shared" si="8"/>
        <v>18600</v>
      </c>
      <c r="H8" s="236">
        <v>9426</v>
      </c>
      <c r="I8" s="237">
        <v>9174</v>
      </c>
      <c r="J8" s="238">
        <f t="shared" si="0"/>
        <v>19548</v>
      </c>
      <c r="K8" s="239">
        <f t="shared" si="1"/>
        <v>9921</v>
      </c>
      <c r="L8" s="240">
        <f t="shared" si="1"/>
        <v>9627</v>
      </c>
      <c r="M8" s="238">
        <f t="shared" si="2"/>
        <v>19425</v>
      </c>
      <c r="N8" s="239">
        <f t="shared" si="9"/>
        <v>9926</v>
      </c>
      <c r="O8" s="240">
        <f t="shared" si="9"/>
        <v>9499</v>
      </c>
      <c r="P8" s="238">
        <f t="shared" si="3"/>
        <v>18955</v>
      </c>
      <c r="Q8" s="239">
        <f t="shared" si="4"/>
        <v>9513</v>
      </c>
      <c r="R8" s="240">
        <f t="shared" si="4"/>
        <v>9442</v>
      </c>
      <c r="S8" s="238">
        <f t="shared" si="5"/>
        <v>19175</v>
      </c>
      <c r="T8" s="239">
        <f t="shared" si="6"/>
        <v>9648</v>
      </c>
      <c r="U8" s="240">
        <f t="shared" si="6"/>
        <v>9527</v>
      </c>
    </row>
    <row r="9" spans="1:21" ht="25.5" customHeight="1">
      <c r="A9" s="233"/>
      <c r="B9" s="218"/>
      <c r="C9" s="234" t="s">
        <v>86</v>
      </c>
      <c r="D9" s="235">
        <f t="shared" si="7"/>
        <v>19716</v>
      </c>
      <c r="E9" s="236">
        <v>9863</v>
      </c>
      <c r="F9" s="237">
        <v>9853</v>
      </c>
      <c r="G9" s="235">
        <f t="shared" si="8"/>
        <v>19105</v>
      </c>
      <c r="H9" s="236">
        <v>9648</v>
      </c>
      <c r="I9" s="237">
        <v>9457</v>
      </c>
      <c r="J9" s="238">
        <f t="shared" si="0"/>
        <v>18522</v>
      </c>
      <c r="K9" s="239">
        <f t="shared" si="1"/>
        <v>9402</v>
      </c>
      <c r="L9" s="240">
        <f t="shared" si="1"/>
        <v>9120</v>
      </c>
      <c r="M9" s="238">
        <f t="shared" si="2"/>
        <v>19488</v>
      </c>
      <c r="N9" s="239">
        <f t="shared" si="9"/>
        <v>9849</v>
      </c>
      <c r="O9" s="240">
        <f t="shared" si="9"/>
        <v>9639</v>
      </c>
      <c r="P9" s="238">
        <f t="shared" si="3"/>
        <v>19329</v>
      </c>
      <c r="Q9" s="239">
        <f t="shared" si="4"/>
        <v>9759</v>
      </c>
      <c r="R9" s="240">
        <f t="shared" si="4"/>
        <v>9570</v>
      </c>
      <c r="S9" s="238">
        <f t="shared" si="5"/>
        <v>18891</v>
      </c>
      <c r="T9" s="239">
        <f t="shared" si="6"/>
        <v>9500</v>
      </c>
      <c r="U9" s="240">
        <f t="shared" si="6"/>
        <v>9391</v>
      </c>
    </row>
    <row r="10" spans="1:21" ht="25.5" customHeight="1">
      <c r="A10" s="233"/>
      <c r="B10" s="218"/>
      <c r="C10" s="234" t="s">
        <v>87</v>
      </c>
      <c r="D10" s="235">
        <f t="shared" si="7"/>
        <v>19798</v>
      </c>
      <c r="E10" s="236">
        <v>9897</v>
      </c>
      <c r="F10" s="237">
        <v>9901</v>
      </c>
      <c r="G10" s="235">
        <f t="shared" si="8"/>
        <v>19683</v>
      </c>
      <c r="H10" s="236">
        <v>9833</v>
      </c>
      <c r="I10" s="237">
        <v>9850</v>
      </c>
      <c r="J10" s="238">
        <f t="shared" si="0"/>
        <v>19044</v>
      </c>
      <c r="K10" s="239">
        <f t="shared" si="1"/>
        <v>9627</v>
      </c>
      <c r="L10" s="240">
        <f t="shared" si="1"/>
        <v>9417</v>
      </c>
      <c r="M10" s="238">
        <f t="shared" si="2"/>
        <v>18487</v>
      </c>
      <c r="N10" s="239">
        <f t="shared" si="9"/>
        <v>9416</v>
      </c>
      <c r="O10" s="240">
        <f t="shared" si="9"/>
        <v>9071</v>
      </c>
      <c r="P10" s="238">
        <f t="shared" si="3"/>
        <v>19310</v>
      </c>
      <c r="Q10" s="239">
        <f t="shared" si="4"/>
        <v>9805</v>
      </c>
      <c r="R10" s="240">
        <f t="shared" si="4"/>
        <v>9505</v>
      </c>
      <c r="S10" s="238">
        <f t="shared" si="5"/>
        <v>19277</v>
      </c>
      <c r="T10" s="239">
        <f t="shared" si="6"/>
        <v>9796</v>
      </c>
      <c r="U10" s="240">
        <f t="shared" si="6"/>
        <v>9481</v>
      </c>
    </row>
    <row r="11" spans="1:21" ht="25.5" customHeight="1">
      <c r="A11" s="233"/>
      <c r="B11" s="218"/>
      <c r="C11" s="234" t="s">
        <v>88</v>
      </c>
      <c r="D11" s="235">
        <f t="shared" si="7"/>
        <v>20801</v>
      </c>
      <c r="E11" s="236">
        <v>10480</v>
      </c>
      <c r="F11" s="237">
        <v>10321</v>
      </c>
      <c r="G11" s="235">
        <f t="shared" si="8"/>
        <v>19568</v>
      </c>
      <c r="H11" s="236">
        <v>9766</v>
      </c>
      <c r="I11" s="237">
        <v>9802</v>
      </c>
      <c r="J11" s="238">
        <f t="shared" si="0"/>
        <v>19456</v>
      </c>
      <c r="K11" s="239">
        <f t="shared" si="1"/>
        <v>9715</v>
      </c>
      <c r="L11" s="240">
        <f t="shared" si="1"/>
        <v>9741</v>
      </c>
      <c r="M11" s="238">
        <f t="shared" si="2"/>
        <v>18901</v>
      </c>
      <c r="N11" s="239">
        <f t="shared" si="9"/>
        <v>9570</v>
      </c>
      <c r="O11" s="240">
        <f t="shared" si="9"/>
        <v>9331</v>
      </c>
      <c r="P11" s="238">
        <f t="shared" si="3"/>
        <v>18282</v>
      </c>
      <c r="Q11" s="239">
        <f t="shared" si="4"/>
        <v>9250</v>
      </c>
      <c r="R11" s="240">
        <f t="shared" si="4"/>
        <v>9032</v>
      </c>
      <c r="S11" s="238">
        <f t="shared" si="5"/>
        <v>19145</v>
      </c>
      <c r="T11" s="239">
        <f t="shared" si="6"/>
        <v>9716</v>
      </c>
      <c r="U11" s="240">
        <f t="shared" si="6"/>
        <v>9429</v>
      </c>
    </row>
    <row r="12" spans="1:21" ht="25.5" customHeight="1">
      <c r="A12" s="233"/>
      <c r="B12" s="241"/>
      <c r="C12" s="242" t="s">
        <v>102</v>
      </c>
      <c r="D12" s="236">
        <f t="shared" si="7"/>
        <v>5965</v>
      </c>
      <c r="E12" s="243">
        <v>3408</v>
      </c>
      <c r="F12" s="237">
        <v>2557</v>
      </c>
      <c r="G12" s="236">
        <f t="shared" si="8"/>
        <v>5371</v>
      </c>
      <c r="H12" s="243">
        <v>3216</v>
      </c>
      <c r="I12" s="237">
        <v>2155</v>
      </c>
      <c r="J12" s="238">
        <f t="shared" si="0"/>
        <v>4441</v>
      </c>
      <c r="K12" s="239">
        <f t="shared" si="1"/>
        <v>2661</v>
      </c>
      <c r="L12" s="240">
        <f t="shared" si="1"/>
        <v>1780</v>
      </c>
      <c r="M12" s="238">
        <f t="shared" si="2"/>
        <v>4758</v>
      </c>
      <c r="N12" s="239">
        <f t="shared" si="9"/>
        <v>2812</v>
      </c>
      <c r="O12" s="240">
        <f t="shared" si="9"/>
        <v>1946</v>
      </c>
      <c r="P12" s="238">
        <f t="shared" si="3"/>
        <v>4312</v>
      </c>
      <c r="Q12" s="239">
        <f t="shared" si="4"/>
        <v>2565</v>
      </c>
      <c r="R12" s="240">
        <f t="shared" si="4"/>
        <v>1747</v>
      </c>
      <c r="S12" s="238">
        <f t="shared" si="5"/>
        <v>4090</v>
      </c>
      <c r="T12" s="239">
        <f t="shared" si="6"/>
        <v>2451</v>
      </c>
      <c r="U12" s="240">
        <f t="shared" si="6"/>
        <v>1639</v>
      </c>
    </row>
    <row r="13" spans="1:21" ht="25.5" customHeight="1">
      <c r="A13" s="244" t="s">
        <v>5</v>
      </c>
      <c r="B13" s="245"/>
      <c r="C13" s="246"/>
      <c r="D13" s="247">
        <f aca="true" t="shared" si="10" ref="D13:O13">SUM(D6:D12)</f>
        <v>123562</v>
      </c>
      <c r="E13" s="247">
        <f t="shared" si="10"/>
        <v>62729</v>
      </c>
      <c r="F13" s="248">
        <f t="shared" si="10"/>
        <v>60833</v>
      </c>
      <c r="G13" s="247">
        <f t="shared" si="10"/>
        <v>121387</v>
      </c>
      <c r="H13" s="247">
        <f t="shared" si="10"/>
        <v>61687</v>
      </c>
      <c r="I13" s="248">
        <f t="shared" si="10"/>
        <v>59700</v>
      </c>
      <c r="J13" s="249">
        <f t="shared" si="10"/>
        <v>119310</v>
      </c>
      <c r="K13" s="250">
        <f t="shared" si="10"/>
        <v>60641</v>
      </c>
      <c r="L13" s="251">
        <f t="shared" si="10"/>
        <v>58669</v>
      </c>
      <c r="M13" s="230">
        <f t="shared" si="10"/>
        <v>119022</v>
      </c>
      <c r="N13" s="250">
        <f t="shared" si="10"/>
        <v>60693</v>
      </c>
      <c r="O13" s="251">
        <f t="shared" si="10"/>
        <v>58329</v>
      </c>
      <c r="P13" s="230">
        <f aca="true" t="shared" si="11" ref="P13:U13">SUM(P6:P12)</f>
        <v>117922</v>
      </c>
      <c r="Q13" s="250">
        <f t="shared" si="11"/>
        <v>59948</v>
      </c>
      <c r="R13" s="251">
        <f t="shared" si="11"/>
        <v>57974</v>
      </c>
      <c r="S13" s="230">
        <f t="shared" si="11"/>
        <v>117427</v>
      </c>
      <c r="T13" s="250">
        <f t="shared" si="11"/>
        <v>59673</v>
      </c>
      <c r="U13" s="251">
        <f t="shared" si="11"/>
        <v>57754</v>
      </c>
    </row>
    <row r="14" spans="1:21" ht="27" customHeight="1">
      <c r="A14" s="252" t="s">
        <v>103</v>
      </c>
      <c r="B14" s="225"/>
      <c r="C14" s="253"/>
      <c r="D14" s="210"/>
      <c r="E14" s="210"/>
      <c r="F14" s="210"/>
      <c r="G14" s="254"/>
      <c r="H14" s="255"/>
      <c r="I14" s="210"/>
      <c r="J14" s="256"/>
      <c r="K14" s="257"/>
      <c r="L14" s="256"/>
      <c r="M14" s="256"/>
      <c r="N14" s="257"/>
      <c r="O14" s="258"/>
      <c r="P14" s="256"/>
      <c r="Q14" s="257"/>
      <c r="R14" s="258"/>
      <c r="S14" s="256"/>
      <c r="T14" s="257"/>
      <c r="U14" s="258"/>
    </row>
    <row r="15" spans="1:21" ht="25.5" customHeight="1">
      <c r="A15" s="224" t="s">
        <v>97</v>
      </c>
      <c r="B15" s="225"/>
      <c r="C15" s="226" t="s">
        <v>83</v>
      </c>
      <c r="D15" s="227">
        <f aca="true" t="shared" si="12" ref="D15:D21">SUM(E15:F15)</f>
        <v>14502</v>
      </c>
      <c r="E15" s="227">
        <v>7408</v>
      </c>
      <c r="F15" s="229">
        <v>7094</v>
      </c>
      <c r="G15" s="227">
        <f aca="true" t="shared" si="13" ref="G15:G21">SUM(H15:I15)</f>
        <v>14299</v>
      </c>
      <c r="H15" s="227">
        <v>7286</v>
      </c>
      <c r="I15" s="229">
        <v>7013</v>
      </c>
      <c r="J15" s="230">
        <f aca="true" t="shared" si="14" ref="J15:J21">K15+L15</f>
        <v>13758</v>
      </c>
      <c r="K15" s="231">
        <v>6984</v>
      </c>
      <c r="L15" s="232">
        <v>6774</v>
      </c>
      <c r="M15" s="238">
        <f aca="true" t="shared" si="15" ref="M15:M21">N15+O15</f>
        <v>13963</v>
      </c>
      <c r="N15" s="231">
        <v>7021</v>
      </c>
      <c r="O15" s="232">
        <v>6942</v>
      </c>
      <c r="P15" s="238">
        <f aca="true" t="shared" si="16" ref="P15:P21">Q15+R15</f>
        <v>13331</v>
      </c>
      <c r="Q15" s="231">
        <v>6783</v>
      </c>
      <c r="R15" s="232">
        <v>6548</v>
      </c>
      <c r="S15" s="238">
        <f aca="true" t="shared" si="17" ref="S15:S21">T15+U15</f>
        <v>13120</v>
      </c>
      <c r="T15" s="231">
        <v>6594</v>
      </c>
      <c r="U15" s="232">
        <v>6526</v>
      </c>
    </row>
    <row r="16" spans="1:21" ht="25.5" customHeight="1">
      <c r="A16" s="233"/>
      <c r="B16" s="218"/>
      <c r="C16" s="234" t="s">
        <v>84</v>
      </c>
      <c r="D16" s="236">
        <f t="shared" si="12"/>
        <v>13660</v>
      </c>
      <c r="E16" s="236">
        <v>6968</v>
      </c>
      <c r="F16" s="237">
        <v>6692</v>
      </c>
      <c r="G16" s="236">
        <f t="shared" si="13"/>
        <v>14423</v>
      </c>
      <c r="H16" s="236">
        <v>7327</v>
      </c>
      <c r="I16" s="237">
        <v>7096</v>
      </c>
      <c r="J16" s="238">
        <f t="shared" si="14"/>
        <v>14199</v>
      </c>
      <c r="K16" s="239">
        <v>7205</v>
      </c>
      <c r="L16" s="240">
        <v>6994</v>
      </c>
      <c r="M16" s="238">
        <f t="shared" si="15"/>
        <v>13698</v>
      </c>
      <c r="N16" s="239">
        <v>6951</v>
      </c>
      <c r="O16" s="240">
        <v>6747</v>
      </c>
      <c r="P16" s="238">
        <f t="shared" si="16"/>
        <v>13870</v>
      </c>
      <c r="Q16" s="239">
        <v>6968</v>
      </c>
      <c r="R16" s="240">
        <v>6902</v>
      </c>
      <c r="S16" s="238">
        <f t="shared" si="17"/>
        <v>13362</v>
      </c>
      <c r="T16" s="239">
        <v>6758</v>
      </c>
      <c r="U16" s="240">
        <v>6604</v>
      </c>
    </row>
    <row r="17" spans="1:21" ht="25.5" customHeight="1">
      <c r="A17" s="233"/>
      <c r="B17" s="218"/>
      <c r="C17" s="234" t="s">
        <v>85</v>
      </c>
      <c r="D17" s="236">
        <f t="shared" si="12"/>
        <v>14262</v>
      </c>
      <c r="E17" s="236">
        <v>7282</v>
      </c>
      <c r="F17" s="237">
        <v>6980</v>
      </c>
      <c r="G17" s="236">
        <f t="shared" si="13"/>
        <v>13624</v>
      </c>
      <c r="H17" s="236">
        <v>6943</v>
      </c>
      <c r="I17" s="237">
        <v>6681</v>
      </c>
      <c r="J17" s="238">
        <f t="shared" si="14"/>
        <v>14351</v>
      </c>
      <c r="K17" s="239">
        <v>7292</v>
      </c>
      <c r="L17" s="240">
        <v>7059</v>
      </c>
      <c r="M17" s="238">
        <f t="shared" si="15"/>
        <v>14120</v>
      </c>
      <c r="N17" s="239">
        <v>7251</v>
      </c>
      <c r="O17" s="240">
        <v>6869</v>
      </c>
      <c r="P17" s="238">
        <f t="shared" si="16"/>
        <v>13693</v>
      </c>
      <c r="Q17" s="239">
        <v>6937</v>
      </c>
      <c r="R17" s="240">
        <v>6756</v>
      </c>
      <c r="S17" s="238">
        <f t="shared" si="17"/>
        <v>13909</v>
      </c>
      <c r="T17" s="239">
        <v>6998</v>
      </c>
      <c r="U17" s="240">
        <v>6911</v>
      </c>
    </row>
    <row r="18" spans="1:21" ht="25.5" customHeight="1">
      <c r="A18" s="233"/>
      <c r="B18" s="218"/>
      <c r="C18" s="234" t="s">
        <v>86</v>
      </c>
      <c r="D18" s="236">
        <f t="shared" si="12"/>
        <v>14819</v>
      </c>
      <c r="E18" s="236">
        <v>7430</v>
      </c>
      <c r="F18" s="237">
        <v>7389</v>
      </c>
      <c r="G18" s="236">
        <f t="shared" si="13"/>
        <v>14174</v>
      </c>
      <c r="H18" s="236">
        <v>7213</v>
      </c>
      <c r="I18" s="237">
        <v>6961</v>
      </c>
      <c r="J18" s="238">
        <f t="shared" si="14"/>
        <v>13562</v>
      </c>
      <c r="K18" s="239">
        <v>6913</v>
      </c>
      <c r="L18" s="240">
        <v>6649</v>
      </c>
      <c r="M18" s="238">
        <f t="shared" si="15"/>
        <v>14248</v>
      </c>
      <c r="N18" s="239">
        <v>7219</v>
      </c>
      <c r="O18" s="240">
        <v>7029</v>
      </c>
      <c r="P18" s="238">
        <f t="shared" si="16"/>
        <v>14048</v>
      </c>
      <c r="Q18" s="239">
        <v>7090</v>
      </c>
      <c r="R18" s="240">
        <v>6958</v>
      </c>
      <c r="S18" s="238">
        <f t="shared" si="17"/>
        <v>13694</v>
      </c>
      <c r="T18" s="239">
        <v>6944</v>
      </c>
      <c r="U18" s="240">
        <v>6750</v>
      </c>
    </row>
    <row r="19" spans="1:21" ht="25.5" customHeight="1">
      <c r="A19" s="233"/>
      <c r="B19" s="218"/>
      <c r="C19" s="234" t="s">
        <v>87</v>
      </c>
      <c r="D19" s="236">
        <f t="shared" si="12"/>
        <v>14761</v>
      </c>
      <c r="E19" s="236">
        <v>7442</v>
      </c>
      <c r="F19" s="237">
        <v>7319</v>
      </c>
      <c r="G19" s="236">
        <f t="shared" si="13"/>
        <v>14727</v>
      </c>
      <c r="H19" s="236">
        <v>7362</v>
      </c>
      <c r="I19" s="237">
        <v>7365</v>
      </c>
      <c r="J19" s="238">
        <f t="shared" si="14"/>
        <v>14100</v>
      </c>
      <c r="K19" s="239">
        <v>7190</v>
      </c>
      <c r="L19" s="240">
        <v>6910</v>
      </c>
      <c r="M19" s="238">
        <f t="shared" si="15"/>
        <v>13555</v>
      </c>
      <c r="N19" s="239">
        <v>6934</v>
      </c>
      <c r="O19" s="240">
        <v>6621</v>
      </c>
      <c r="P19" s="238">
        <f t="shared" si="16"/>
        <v>14146</v>
      </c>
      <c r="Q19" s="239">
        <v>7218</v>
      </c>
      <c r="R19" s="240">
        <v>6928</v>
      </c>
      <c r="S19" s="238">
        <f t="shared" si="17"/>
        <v>14015</v>
      </c>
      <c r="T19" s="239">
        <v>7136</v>
      </c>
      <c r="U19" s="240">
        <v>6879</v>
      </c>
    </row>
    <row r="20" spans="1:21" ht="25.5" customHeight="1">
      <c r="A20" s="233"/>
      <c r="B20" s="218"/>
      <c r="C20" s="234" t="s">
        <v>88</v>
      </c>
      <c r="D20" s="236">
        <f t="shared" si="12"/>
        <v>15809</v>
      </c>
      <c r="E20" s="236">
        <v>8010</v>
      </c>
      <c r="F20" s="237">
        <v>7799</v>
      </c>
      <c r="G20" s="236">
        <f t="shared" si="13"/>
        <v>14671</v>
      </c>
      <c r="H20" s="236">
        <v>7382</v>
      </c>
      <c r="I20" s="237">
        <v>7289</v>
      </c>
      <c r="J20" s="238">
        <f t="shared" si="14"/>
        <v>14650</v>
      </c>
      <c r="K20" s="239">
        <v>7332</v>
      </c>
      <c r="L20" s="240">
        <v>7318</v>
      </c>
      <c r="M20" s="238">
        <f t="shared" si="15"/>
        <v>14023</v>
      </c>
      <c r="N20" s="239">
        <v>7151</v>
      </c>
      <c r="O20" s="240">
        <v>6872</v>
      </c>
      <c r="P20" s="238">
        <f t="shared" si="16"/>
        <v>13408</v>
      </c>
      <c r="Q20" s="239">
        <v>6796</v>
      </c>
      <c r="R20" s="240">
        <v>6612</v>
      </c>
      <c r="S20" s="238">
        <f t="shared" si="17"/>
        <v>14133</v>
      </c>
      <c r="T20" s="239">
        <v>7179</v>
      </c>
      <c r="U20" s="240">
        <v>6954</v>
      </c>
    </row>
    <row r="21" spans="1:21" ht="25.5" customHeight="1">
      <c r="A21" s="259"/>
      <c r="B21" s="260"/>
      <c r="C21" s="242" t="s">
        <v>102</v>
      </c>
      <c r="D21" s="236">
        <f t="shared" si="12"/>
        <v>4777</v>
      </c>
      <c r="E21" s="236">
        <v>2686</v>
      </c>
      <c r="F21" s="237">
        <v>2091</v>
      </c>
      <c r="G21" s="236">
        <f t="shared" si="13"/>
        <v>4363</v>
      </c>
      <c r="H21" s="236">
        <v>2583</v>
      </c>
      <c r="I21" s="237">
        <v>1780</v>
      </c>
      <c r="J21" s="238">
        <f t="shared" si="14"/>
        <v>3532</v>
      </c>
      <c r="K21" s="239">
        <v>2105</v>
      </c>
      <c r="L21" s="240">
        <v>1427</v>
      </c>
      <c r="M21" s="238">
        <f t="shared" si="15"/>
        <v>3830</v>
      </c>
      <c r="N21" s="239">
        <v>2252</v>
      </c>
      <c r="O21" s="240">
        <v>1578</v>
      </c>
      <c r="P21" s="238">
        <f t="shared" si="16"/>
        <v>3301</v>
      </c>
      <c r="Q21" s="239">
        <v>1949</v>
      </c>
      <c r="R21" s="240">
        <v>1352</v>
      </c>
      <c r="S21" s="238">
        <f t="shared" si="17"/>
        <v>3072</v>
      </c>
      <c r="T21" s="239">
        <v>1832</v>
      </c>
      <c r="U21" s="240">
        <v>1240</v>
      </c>
    </row>
    <row r="22" spans="1:21" ht="25.5" customHeight="1">
      <c r="A22" s="244" t="s">
        <v>5</v>
      </c>
      <c r="B22" s="245"/>
      <c r="C22" s="246"/>
      <c r="D22" s="247">
        <f aca="true" t="shared" si="18" ref="D22:O22">SUM(D15:D21)</f>
        <v>92590</v>
      </c>
      <c r="E22" s="247">
        <f t="shared" si="18"/>
        <v>47226</v>
      </c>
      <c r="F22" s="248">
        <f t="shared" si="18"/>
        <v>45364</v>
      </c>
      <c r="G22" s="247">
        <f t="shared" si="18"/>
        <v>90281</v>
      </c>
      <c r="H22" s="247">
        <f t="shared" si="18"/>
        <v>46096</v>
      </c>
      <c r="I22" s="248">
        <f t="shared" si="18"/>
        <v>44185</v>
      </c>
      <c r="J22" s="249">
        <f t="shared" si="18"/>
        <v>88152</v>
      </c>
      <c r="K22" s="250">
        <f t="shared" si="18"/>
        <v>45021</v>
      </c>
      <c r="L22" s="251">
        <f t="shared" si="18"/>
        <v>43131</v>
      </c>
      <c r="M22" s="230">
        <f t="shared" si="18"/>
        <v>87437</v>
      </c>
      <c r="N22" s="250">
        <f t="shared" si="18"/>
        <v>44779</v>
      </c>
      <c r="O22" s="251">
        <f t="shared" si="18"/>
        <v>42658</v>
      </c>
      <c r="P22" s="230">
        <f aca="true" t="shared" si="19" ref="P22:U22">SUM(P15:P21)</f>
        <v>85797</v>
      </c>
      <c r="Q22" s="250">
        <f t="shared" si="19"/>
        <v>43741</v>
      </c>
      <c r="R22" s="251">
        <f t="shared" si="19"/>
        <v>42056</v>
      </c>
      <c r="S22" s="230">
        <f t="shared" si="19"/>
        <v>85305</v>
      </c>
      <c r="T22" s="250">
        <f t="shared" si="19"/>
        <v>43441</v>
      </c>
      <c r="U22" s="251">
        <f t="shared" si="19"/>
        <v>41864</v>
      </c>
    </row>
    <row r="23" spans="1:21" ht="27" customHeight="1">
      <c r="A23" s="261" t="s">
        <v>104</v>
      </c>
      <c r="B23" s="221"/>
      <c r="C23" s="221"/>
      <c r="D23" s="219"/>
      <c r="E23" s="219"/>
      <c r="F23" s="219"/>
      <c r="G23" s="219"/>
      <c r="H23" s="219"/>
      <c r="I23" s="219"/>
      <c r="J23" s="256"/>
      <c r="K23" s="257"/>
      <c r="L23" s="256"/>
      <c r="M23" s="256"/>
      <c r="N23" s="257"/>
      <c r="O23" s="258"/>
      <c r="P23" s="256"/>
      <c r="Q23" s="257"/>
      <c r="R23" s="258"/>
      <c r="S23" s="256"/>
      <c r="T23" s="257"/>
      <c r="U23" s="258"/>
    </row>
    <row r="24" spans="1:21" ht="25.5" customHeight="1">
      <c r="A24" s="224" t="s">
        <v>97</v>
      </c>
      <c r="B24" s="225"/>
      <c r="C24" s="226" t="s">
        <v>83</v>
      </c>
      <c r="D24" s="236">
        <f aca="true" t="shared" si="20" ref="D24:D30">SUM(E24:F24)</f>
        <v>5023</v>
      </c>
      <c r="E24" s="262">
        <f aca="true" t="shared" si="21" ref="E24:F30">E6-E15</f>
        <v>2520</v>
      </c>
      <c r="F24" s="263">
        <f t="shared" si="21"/>
        <v>2503</v>
      </c>
      <c r="G24" s="236">
        <f aca="true" t="shared" si="22" ref="G24:G30">SUM(H24:I24)</f>
        <v>5138</v>
      </c>
      <c r="H24" s="262">
        <f aca="true" t="shared" si="23" ref="H24:I30">H6-H15</f>
        <v>2575</v>
      </c>
      <c r="I24" s="263">
        <f t="shared" si="23"/>
        <v>2563</v>
      </c>
      <c r="J24" s="230">
        <f aca="true" t="shared" si="24" ref="J24:J30">K24+L24</f>
        <v>5073</v>
      </c>
      <c r="K24" s="231">
        <v>2481</v>
      </c>
      <c r="L24" s="232">
        <v>2592</v>
      </c>
      <c r="M24" s="238">
        <f aca="true" t="shared" si="25" ref="M24:M30">N24+O24</f>
        <v>5085</v>
      </c>
      <c r="N24" s="231">
        <v>2566</v>
      </c>
      <c r="O24" s="232">
        <v>2519</v>
      </c>
      <c r="P24" s="238">
        <f aca="true" t="shared" si="26" ref="P24:P30">Q24+R24</f>
        <v>5282</v>
      </c>
      <c r="Q24" s="231">
        <v>2669</v>
      </c>
      <c r="R24" s="232">
        <v>2613</v>
      </c>
      <c r="S24" s="238">
        <f aca="true" t="shared" si="27" ref="S24:S30">T24+U24</f>
        <v>5207</v>
      </c>
      <c r="T24" s="231">
        <v>2588</v>
      </c>
      <c r="U24" s="232">
        <v>2619</v>
      </c>
    </row>
    <row r="25" spans="1:21" ht="25.5" customHeight="1">
      <c r="A25" s="233"/>
      <c r="B25" s="218"/>
      <c r="C25" s="234" t="s">
        <v>84</v>
      </c>
      <c r="D25" s="236">
        <f t="shared" si="20"/>
        <v>4918</v>
      </c>
      <c r="E25" s="262">
        <f t="shared" si="21"/>
        <v>2452</v>
      </c>
      <c r="F25" s="264">
        <f t="shared" si="21"/>
        <v>2466</v>
      </c>
      <c r="G25" s="236">
        <f t="shared" si="22"/>
        <v>5200</v>
      </c>
      <c r="H25" s="262">
        <f t="shared" si="23"/>
        <v>2610</v>
      </c>
      <c r="I25" s="264">
        <f t="shared" si="23"/>
        <v>2590</v>
      </c>
      <c r="J25" s="238">
        <f t="shared" si="24"/>
        <v>5269</v>
      </c>
      <c r="K25" s="239">
        <v>2645</v>
      </c>
      <c r="L25" s="240">
        <v>2624</v>
      </c>
      <c r="M25" s="238">
        <f t="shared" si="25"/>
        <v>5217</v>
      </c>
      <c r="N25" s="239">
        <v>2582</v>
      </c>
      <c r="O25" s="240">
        <v>2635</v>
      </c>
      <c r="P25" s="238">
        <f t="shared" si="26"/>
        <v>5251</v>
      </c>
      <c r="Q25" s="239">
        <v>2636</v>
      </c>
      <c r="R25" s="240">
        <v>2615</v>
      </c>
      <c r="S25" s="238">
        <f t="shared" si="27"/>
        <v>5160</v>
      </c>
      <c r="T25" s="239">
        <v>2622</v>
      </c>
      <c r="U25" s="240">
        <v>2538</v>
      </c>
    </row>
    <row r="26" spans="1:21" ht="25.5" customHeight="1">
      <c r="A26" s="233"/>
      <c r="B26" s="218"/>
      <c r="C26" s="234" t="s">
        <v>85</v>
      </c>
      <c r="D26" s="236">
        <f t="shared" si="20"/>
        <v>4917</v>
      </c>
      <c r="E26" s="262">
        <f t="shared" si="21"/>
        <v>2451</v>
      </c>
      <c r="F26" s="264">
        <f t="shared" si="21"/>
        <v>2466</v>
      </c>
      <c r="G26" s="236">
        <f t="shared" si="22"/>
        <v>4976</v>
      </c>
      <c r="H26" s="262">
        <f t="shared" si="23"/>
        <v>2483</v>
      </c>
      <c r="I26" s="264">
        <f t="shared" si="23"/>
        <v>2493</v>
      </c>
      <c r="J26" s="238">
        <f t="shared" si="24"/>
        <v>5197</v>
      </c>
      <c r="K26" s="239">
        <v>2629</v>
      </c>
      <c r="L26" s="240">
        <v>2568</v>
      </c>
      <c r="M26" s="238">
        <f t="shared" si="25"/>
        <v>5305</v>
      </c>
      <c r="N26" s="239">
        <v>2675</v>
      </c>
      <c r="O26" s="240">
        <v>2630</v>
      </c>
      <c r="P26" s="238">
        <f t="shared" si="26"/>
        <v>5262</v>
      </c>
      <c r="Q26" s="239">
        <v>2576</v>
      </c>
      <c r="R26" s="240">
        <v>2686</v>
      </c>
      <c r="S26" s="238">
        <f t="shared" si="27"/>
        <v>5266</v>
      </c>
      <c r="T26" s="239">
        <v>2650</v>
      </c>
      <c r="U26" s="240">
        <v>2616</v>
      </c>
    </row>
    <row r="27" spans="1:21" ht="25.5" customHeight="1">
      <c r="A27" s="233"/>
      <c r="B27" s="218"/>
      <c r="C27" s="234" t="s">
        <v>86</v>
      </c>
      <c r="D27" s="236">
        <f t="shared" si="20"/>
        <v>4897</v>
      </c>
      <c r="E27" s="262">
        <f t="shared" si="21"/>
        <v>2433</v>
      </c>
      <c r="F27" s="264">
        <f t="shared" si="21"/>
        <v>2464</v>
      </c>
      <c r="G27" s="236">
        <f t="shared" si="22"/>
        <v>4931</v>
      </c>
      <c r="H27" s="262">
        <f t="shared" si="23"/>
        <v>2435</v>
      </c>
      <c r="I27" s="264">
        <f t="shared" si="23"/>
        <v>2496</v>
      </c>
      <c r="J27" s="238">
        <f t="shared" si="24"/>
        <v>4960</v>
      </c>
      <c r="K27" s="239">
        <v>2489</v>
      </c>
      <c r="L27" s="240">
        <v>2471</v>
      </c>
      <c r="M27" s="238">
        <f t="shared" si="25"/>
        <v>5240</v>
      </c>
      <c r="N27" s="239">
        <v>2630</v>
      </c>
      <c r="O27" s="240">
        <v>2610</v>
      </c>
      <c r="P27" s="238">
        <f t="shared" si="26"/>
        <v>5281</v>
      </c>
      <c r="Q27" s="239">
        <v>2669</v>
      </c>
      <c r="R27" s="240">
        <v>2612</v>
      </c>
      <c r="S27" s="238">
        <f t="shared" si="27"/>
        <v>5197</v>
      </c>
      <c r="T27" s="239">
        <v>2556</v>
      </c>
      <c r="U27" s="240">
        <v>2641</v>
      </c>
    </row>
    <row r="28" spans="1:21" ht="25.5" customHeight="1">
      <c r="A28" s="233"/>
      <c r="B28" s="218"/>
      <c r="C28" s="234" t="s">
        <v>87</v>
      </c>
      <c r="D28" s="236">
        <f t="shared" si="20"/>
        <v>5037</v>
      </c>
      <c r="E28" s="262">
        <f t="shared" si="21"/>
        <v>2455</v>
      </c>
      <c r="F28" s="264">
        <f t="shared" si="21"/>
        <v>2582</v>
      </c>
      <c r="G28" s="236">
        <f t="shared" si="22"/>
        <v>4956</v>
      </c>
      <c r="H28" s="262">
        <f t="shared" si="23"/>
        <v>2471</v>
      </c>
      <c r="I28" s="264">
        <f t="shared" si="23"/>
        <v>2485</v>
      </c>
      <c r="J28" s="238">
        <f t="shared" si="24"/>
        <v>4944</v>
      </c>
      <c r="K28" s="239">
        <v>2437</v>
      </c>
      <c r="L28" s="240">
        <v>2507</v>
      </c>
      <c r="M28" s="238">
        <f t="shared" si="25"/>
        <v>4932</v>
      </c>
      <c r="N28" s="239">
        <v>2482</v>
      </c>
      <c r="O28" s="240">
        <v>2450</v>
      </c>
      <c r="P28" s="238">
        <f t="shared" si="26"/>
        <v>5164</v>
      </c>
      <c r="Q28" s="239">
        <v>2587</v>
      </c>
      <c r="R28" s="240">
        <v>2577</v>
      </c>
      <c r="S28" s="238">
        <f t="shared" si="27"/>
        <v>5262</v>
      </c>
      <c r="T28" s="239">
        <v>2660</v>
      </c>
      <c r="U28" s="240">
        <v>2602</v>
      </c>
    </row>
    <row r="29" spans="1:21" ht="25.5" customHeight="1">
      <c r="A29" s="233"/>
      <c r="B29" s="218"/>
      <c r="C29" s="234" t="s">
        <v>88</v>
      </c>
      <c r="D29" s="236">
        <f t="shared" si="20"/>
        <v>4992</v>
      </c>
      <c r="E29" s="262">
        <f t="shared" si="21"/>
        <v>2470</v>
      </c>
      <c r="F29" s="264">
        <f t="shared" si="21"/>
        <v>2522</v>
      </c>
      <c r="G29" s="236">
        <f t="shared" si="22"/>
        <v>4897</v>
      </c>
      <c r="H29" s="262">
        <f t="shared" si="23"/>
        <v>2384</v>
      </c>
      <c r="I29" s="264">
        <f t="shared" si="23"/>
        <v>2513</v>
      </c>
      <c r="J29" s="238">
        <f t="shared" si="24"/>
        <v>4806</v>
      </c>
      <c r="K29" s="239">
        <v>2383</v>
      </c>
      <c r="L29" s="240">
        <v>2423</v>
      </c>
      <c r="M29" s="238">
        <f t="shared" si="25"/>
        <v>4878</v>
      </c>
      <c r="N29" s="239">
        <v>2419</v>
      </c>
      <c r="O29" s="240">
        <v>2459</v>
      </c>
      <c r="P29" s="238">
        <f t="shared" si="26"/>
        <v>4874</v>
      </c>
      <c r="Q29" s="239">
        <v>2454</v>
      </c>
      <c r="R29" s="240">
        <v>2420</v>
      </c>
      <c r="S29" s="238">
        <f t="shared" si="27"/>
        <v>5012</v>
      </c>
      <c r="T29" s="239">
        <v>2537</v>
      </c>
      <c r="U29" s="240">
        <v>2475</v>
      </c>
    </row>
    <row r="30" spans="1:21" ht="25.5" customHeight="1">
      <c r="A30" s="233"/>
      <c r="B30" s="241"/>
      <c r="C30" s="242" t="s">
        <v>102</v>
      </c>
      <c r="D30" s="236">
        <f t="shared" si="20"/>
        <v>1188</v>
      </c>
      <c r="E30" s="262">
        <f t="shared" si="21"/>
        <v>722</v>
      </c>
      <c r="F30" s="264">
        <f t="shared" si="21"/>
        <v>466</v>
      </c>
      <c r="G30" s="236">
        <f t="shared" si="22"/>
        <v>1008</v>
      </c>
      <c r="H30" s="262">
        <f t="shared" si="23"/>
        <v>633</v>
      </c>
      <c r="I30" s="264">
        <f t="shared" si="23"/>
        <v>375</v>
      </c>
      <c r="J30" s="238">
        <f t="shared" si="24"/>
        <v>909</v>
      </c>
      <c r="K30" s="239">
        <v>556</v>
      </c>
      <c r="L30" s="240">
        <v>353</v>
      </c>
      <c r="M30" s="238">
        <f t="shared" si="25"/>
        <v>928</v>
      </c>
      <c r="N30" s="239">
        <v>560</v>
      </c>
      <c r="O30" s="240">
        <v>368</v>
      </c>
      <c r="P30" s="238">
        <f t="shared" si="26"/>
        <v>1011</v>
      </c>
      <c r="Q30" s="239">
        <v>616</v>
      </c>
      <c r="R30" s="240">
        <v>395</v>
      </c>
      <c r="S30" s="238">
        <f t="shared" si="27"/>
        <v>1018</v>
      </c>
      <c r="T30" s="239">
        <v>619</v>
      </c>
      <c r="U30" s="240">
        <v>399</v>
      </c>
    </row>
    <row r="31" spans="1:21" ht="25.5" customHeight="1">
      <c r="A31" s="244" t="s">
        <v>5</v>
      </c>
      <c r="B31" s="245"/>
      <c r="C31" s="246"/>
      <c r="D31" s="247">
        <f aca="true" t="shared" si="28" ref="D31:O31">SUM(D24:D30)</f>
        <v>30972</v>
      </c>
      <c r="E31" s="265">
        <f t="shared" si="28"/>
        <v>15503</v>
      </c>
      <c r="F31" s="266">
        <f t="shared" si="28"/>
        <v>15469</v>
      </c>
      <c r="G31" s="247">
        <f t="shared" si="28"/>
        <v>31106</v>
      </c>
      <c r="H31" s="265">
        <f t="shared" si="28"/>
        <v>15591</v>
      </c>
      <c r="I31" s="266">
        <f t="shared" si="28"/>
        <v>15515</v>
      </c>
      <c r="J31" s="249">
        <f t="shared" si="28"/>
        <v>31158</v>
      </c>
      <c r="K31" s="250">
        <f t="shared" si="28"/>
        <v>15620</v>
      </c>
      <c r="L31" s="251">
        <f t="shared" si="28"/>
        <v>15538</v>
      </c>
      <c r="M31" s="249">
        <f t="shared" si="28"/>
        <v>31585</v>
      </c>
      <c r="N31" s="250">
        <f t="shared" si="28"/>
        <v>15914</v>
      </c>
      <c r="O31" s="251">
        <f t="shared" si="28"/>
        <v>15671</v>
      </c>
      <c r="P31" s="249">
        <f aca="true" t="shared" si="29" ref="P31:U31">SUM(P24:P30)</f>
        <v>32125</v>
      </c>
      <c r="Q31" s="250">
        <f t="shared" si="29"/>
        <v>16207</v>
      </c>
      <c r="R31" s="251">
        <f t="shared" si="29"/>
        <v>15918</v>
      </c>
      <c r="S31" s="249">
        <f t="shared" si="29"/>
        <v>32122</v>
      </c>
      <c r="T31" s="250">
        <f t="shared" si="29"/>
        <v>16232</v>
      </c>
      <c r="U31" s="251">
        <f t="shared" si="29"/>
        <v>15890</v>
      </c>
    </row>
    <row r="32" ht="18" customHeight="1">
      <c r="C32" s="208" t="s">
        <v>105</v>
      </c>
    </row>
    <row r="33" ht="24" customHeight="1"/>
  </sheetData>
  <sheetProtection/>
  <mergeCells count="5">
    <mergeCell ref="A3:C4"/>
    <mergeCell ref="M3:O3"/>
    <mergeCell ref="J3:L3"/>
    <mergeCell ref="P3:R3"/>
    <mergeCell ref="S3:U3"/>
  </mergeCells>
  <printOptions/>
  <pageMargins left="0.57" right="0.19" top="0.64" bottom="0.28" header="0.38" footer="0.23"/>
  <pageSetup horizontalDpi="600" verticalDpi="600" orientation="portrait" paperSize="9" r:id="rId1"/>
  <headerFooter alignWithMargins="0">
    <oddHeader>&amp;C&amp;"Times New Roman,Regular"- 15 -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D8" sqref="D8"/>
    </sheetView>
  </sheetViews>
  <sheetFormatPr defaultColWidth="8.8515625" defaultRowHeight="12.75"/>
  <cols>
    <col min="1" max="1" width="26.57421875" style="314" customWidth="1"/>
    <col min="2" max="2" width="7.140625" style="314" customWidth="1"/>
    <col min="3" max="3" width="6.421875" style="314" customWidth="1"/>
    <col min="4" max="4" width="8.421875" style="314" customWidth="1"/>
    <col min="5" max="12" width="7.00390625" style="314" customWidth="1"/>
    <col min="13" max="13" width="6.28125" style="314" customWidth="1"/>
    <col min="14" max="15" width="5.8515625" style="314" customWidth="1"/>
    <col min="16" max="16" width="6.140625" style="314" customWidth="1"/>
    <col min="17" max="17" width="7.140625" style="314" customWidth="1"/>
    <col min="18" max="19" width="7.140625" style="313" customWidth="1"/>
    <col min="20" max="20" width="6.57421875" style="314" customWidth="1"/>
    <col min="21" max="16384" width="8.8515625" style="314" customWidth="1"/>
  </cols>
  <sheetData>
    <row r="1" spans="1:19" s="268" customFormat="1" ht="16.5" customHeight="1">
      <c r="A1" s="1201" t="s">
        <v>401</v>
      </c>
      <c r="R1" s="269"/>
      <c r="S1" s="269"/>
    </row>
    <row r="2" spans="1:19" s="268" customFormat="1" ht="5.25" customHeight="1">
      <c r="A2" s="13"/>
      <c r="R2" s="269"/>
      <c r="S2" s="269"/>
    </row>
    <row r="3" spans="1:19" s="13" customFormat="1" ht="63" customHeight="1">
      <c r="A3" s="270" t="s">
        <v>15</v>
      </c>
      <c r="B3" s="271" t="s">
        <v>106</v>
      </c>
      <c r="C3" s="272"/>
      <c r="D3" s="272"/>
      <c r="E3" s="273" t="s">
        <v>107</v>
      </c>
      <c r="F3" s="273" t="s">
        <v>108</v>
      </c>
      <c r="G3" s="273" t="s">
        <v>109</v>
      </c>
      <c r="H3" s="273" t="s">
        <v>110</v>
      </c>
      <c r="I3" s="274" t="s">
        <v>111</v>
      </c>
      <c r="J3" s="273" t="s">
        <v>112</v>
      </c>
      <c r="K3" s="273" t="s">
        <v>113</v>
      </c>
      <c r="L3" s="275"/>
      <c r="M3" s="276" t="s">
        <v>114</v>
      </c>
      <c r="N3" s="276" t="s">
        <v>115</v>
      </c>
      <c r="O3" s="276" t="s">
        <v>116</v>
      </c>
      <c r="P3" s="276" t="s">
        <v>117</v>
      </c>
      <c r="Q3" s="277" t="s">
        <v>118</v>
      </c>
      <c r="R3" s="278"/>
      <c r="S3" s="279"/>
    </row>
    <row r="4" spans="1:19" s="13" customFormat="1" ht="15" customHeight="1">
      <c r="A4" s="50" t="s">
        <v>55</v>
      </c>
      <c r="B4" s="280">
        <v>34</v>
      </c>
      <c r="C4" s="281">
        <v>113</v>
      </c>
      <c r="D4" s="282">
        <v>520</v>
      </c>
      <c r="E4" s="283">
        <f>SUM(F4:L4)</f>
        <v>159</v>
      </c>
      <c r="F4" s="284">
        <v>47</v>
      </c>
      <c r="G4" s="284">
        <v>52</v>
      </c>
      <c r="H4" s="284">
        <v>24</v>
      </c>
      <c r="I4" s="284">
        <v>3</v>
      </c>
      <c r="J4" s="291">
        <v>1</v>
      </c>
      <c r="K4" s="284">
        <v>27</v>
      </c>
      <c r="L4" s="992">
        <v>5</v>
      </c>
      <c r="M4" s="280">
        <v>26</v>
      </c>
      <c r="N4" s="281">
        <v>74</v>
      </c>
      <c r="O4" s="281">
        <v>45</v>
      </c>
      <c r="P4" s="281">
        <v>3</v>
      </c>
      <c r="Q4" s="286">
        <f aca="true" t="shared" si="0" ref="Q4:Q12">SUM(B4,C4,D4,E4,M4,N4,O4,P4)</f>
        <v>974</v>
      </c>
      <c r="R4" s="287"/>
      <c r="S4" s="279"/>
    </row>
    <row r="5" spans="1:19" s="13" customFormat="1" ht="15" customHeight="1">
      <c r="A5" s="44" t="s">
        <v>56</v>
      </c>
      <c r="B5" s="288">
        <v>28</v>
      </c>
      <c r="C5" s="288">
        <v>90</v>
      </c>
      <c r="D5" s="289">
        <v>378</v>
      </c>
      <c r="E5" s="290">
        <f aca="true" t="shared" si="1" ref="E5:E12">SUM(F5:L5)</f>
        <v>153</v>
      </c>
      <c r="F5" s="291">
        <v>89</v>
      </c>
      <c r="G5" s="291">
        <v>33</v>
      </c>
      <c r="H5" s="291">
        <v>18</v>
      </c>
      <c r="I5" s="291">
        <v>10</v>
      </c>
      <c r="J5" s="301" t="s">
        <v>122</v>
      </c>
      <c r="K5" s="291">
        <v>3</v>
      </c>
      <c r="L5" s="993" t="s">
        <v>122</v>
      </c>
      <c r="M5" s="996">
        <v>18</v>
      </c>
      <c r="N5" s="288">
        <v>61</v>
      </c>
      <c r="O5" s="288">
        <v>30</v>
      </c>
      <c r="P5" s="288">
        <v>11</v>
      </c>
      <c r="Q5" s="293">
        <f t="shared" si="0"/>
        <v>769</v>
      </c>
      <c r="R5" s="287"/>
      <c r="S5" s="279"/>
    </row>
    <row r="6" spans="1:19" s="13" customFormat="1" ht="15" customHeight="1">
      <c r="A6" s="44" t="s">
        <v>119</v>
      </c>
      <c r="B6" s="288">
        <v>26</v>
      </c>
      <c r="C6" s="288">
        <v>98</v>
      </c>
      <c r="D6" s="289">
        <v>374</v>
      </c>
      <c r="E6" s="290">
        <f t="shared" si="1"/>
        <v>148</v>
      </c>
      <c r="F6" s="291">
        <v>90</v>
      </c>
      <c r="G6" s="291">
        <v>21</v>
      </c>
      <c r="H6" s="291">
        <v>21</v>
      </c>
      <c r="I6" s="291">
        <v>12</v>
      </c>
      <c r="J6" s="301" t="s">
        <v>122</v>
      </c>
      <c r="K6" s="291">
        <v>4</v>
      </c>
      <c r="L6" s="993" t="s">
        <v>122</v>
      </c>
      <c r="M6" s="996">
        <v>20</v>
      </c>
      <c r="N6" s="288">
        <v>41</v>
      </c>
      <c r="O6" s="288">
        <v>46</v>
      </c>
      <c r="P6" s="288">
        <v>9</v>
      </c>
      <c r="Q6" s="293">
        <f t="shared" si="0"/>
        <v>762</v>
      </c>
      <c r="R6" s="287"/>
      <c r="S6" s="279"/>
    </row>
    <row r="7" spans="1:19" s="13" customFormat="1" ht="15" customHeight="1">
      <c r="A7" s="44" t="s">
        <v>59</v>
      </c>
      <c r="B7" s="288">
        <v>36</v>
      </c>
      <c r="C7" s="288">
        <v>94</v>
      </c>
      <c r="D7" s="289">
        <v>461</v>
      </c>
      <c r="E7" s="290">
        <f t="shared" si="1"/>
        <v>195</v>
      </c>
      <c r="F7" s="291">
        <v>101</v>
      </c>
      <c r="G7" s="291">
        <v>46</v>
      </c>
      <c r="H7" s="291">
        <v>22</v>
      </c>
      <c r="I7" s="291">
        <v>12</v>
      </c>
      <c r="J7" s="291">
        <v>7</v>
      </c>
      <c r="K7" s="291">
        <v>5</v>
      </c>
      <c r="L7" s="994">
        <v>2</v>
      </c>
      <c r="M7" s="996">
        <v>27</v>
      </c>
      <c r="N7" s="288">
        <v>76</v>
      </c>
      <c r="O7" s="288">
        <v>45</v>
      </c>
      <c r="P7" s="288">
        <v>10</v>
      </c>
      <c r="Q7" s="293">
        <f t="shared" si="0"/>
        <v>944</v>
      </c>
      <c r="R7" s="287"/>
      <c r="S7" s="279"/>
    </row>
    <row r="8" spans="1:19" s="13" customFormat="1" ht="15" customHeight="1">
      <c r="A8" s="44" t="s">
        <v>60</v>
      </c>
      <c r="B8" s="288">
        <v>29</v>
      </c>
      <c r="C8" s="288">
        <v>89</v>
      </c>
      <c r="D8" s="289">
        <v>334</v>
      </c>
      <c r="E8" s="290">
        <f t="shared" si="1"/>
        <v>127</v>
      </c>
      <c r="F8" s="291">
        <v>54</v>
      </c>
      <c r="G8" s="291">
        <v>21</v>
      </c>
      <c r="H8" s="291">
        <v>19</v>
      </c>
      <c r="I8" s="291">
        <v>14</v>
      </c>
      <c r="J8" s="291">
        <v>6</v>
      </c>
      <c r="K8" s="291">
        <v>12</v>
      </c>
      <c r="L8" s="994">
        <v>1</v>
      </c>
      <c r="M8" s="996">
        <v>21</v>
      </c>
      <c r="N8" s="288">
        <v>44</v>
      </c>
      <c r="O8" s="288">
        <v>41</v>
      </c>
      <c r="P8" s="289">
        <v>7</v>
      </c>
      <c r="Q8" s="293">
        <f t="shared" si="0"/>
        <v>692</v>
      </c>
      <c r="R8" s="287"/>
      <c r="S8" s="279"/>
    </row>
    <row r="9" spans="1:19" s="13" customFormat="1" ht="15" customHeight="1">
      <c r="A9" s="44" t="s">
        <v>61</v>
      </c>
      <c r="B9" s="288">
        <v>16</v>
      </c>
      <c r="C9" s="288">
        <v>53</v>
      </c>
      <c r="D9" s="289">
        <v>202</v>
      </c>
      <c r="E9" s="290">
        <f t="shared" si="1"/>
        <v>76</v>
      </c>
      <c r="F9" s="291">
        <v>25</v>
      </c>
      <c r="G9" s="291">
        <v>12</v>
      </c>
      <c r="H9" s="291">
        <v>13</v>
      </c>
      <c r="I9" s="291">
        <v>8</v>
      </c>
      <c r="J9" s="291">
        <v>8</v>
      </c>
      <c r="K9" s="291">
        <v>10</v>
      </c>
      <c r="L9" s="993" t="s">
        <v>122</v>
      </c>
      <c r="M9" s="996">
        <v>10</v>
      </c>
      <c r="N9" s="288">
        <v>36</v>
      </c>
      <c r="O9" s="288">
        <v>19</v>
      </c>
      <c r="P9" s="288">
        <v>7</v>
      </c>
      <c r="Q9" s="293">
        <f t="shared" si="0"/>
        <v>419</v>
      </c>
      <c r="R9" s="287"/>
      <c r="S9" s="279"/>
    </row>
    <row r="10" spans="1:19" s="13" customFormat="1" ht="15" customHeight="1">
      <c r="A10" s="44" t="s">
        <v>62</v>
      </c>
      <c r="B10" s="288">
        <v>71</v>
      </c>
      <c r="C10" s="288">
        <v>284</v>
      </c>
      <c r="D10" s="289">
        <v>1115</v>
      </c>
      <c r="E10" s="290">
        <f t="shared" si="1"/>
        <v>317</v>
      </c>
      <c r="F10" s="291">
        <v>113</v>
      </c>
      <c r="G10" s="291">
        <v>83</v>
      </c>
      <c r="H10" s="291">
        <v>42</v>
      </c>
      <c r="I10" s="291">
        <v>20</v>
      </c>
      <c r="J10" s="291">
        <v>19</v>
      </c>
      <c r="K10" s="291">
        <v>26</v>
      </c>
      <c r="L10" s="995">
        <v>14</v>
      </c>
      <c r="M10" s="996">
        <v>56</v>
      </c>
      <c r="N10" s="288">
        <v>151</v>
      </c>
      <c r="O10" s="288">
        <v>84</v>
      </c>
      <c r="P10" s="288">
        <v>59</v>
      </c>
      <c r="Q10" s="293">
        <f t="shared" si="0"/>
        <v>2137</v>
      </c>
      <c r="R10" s="287"/>
      <c r="S10" s="279"/>
    </row>
    <row r="11" spans="1:19" s="13" customFormat="1" ht="15" customHeight="1">
      <c r="A11" s="44" t="s">
        <v>63</v>
      </c>
      <c r="B11" s="288">
        <v>25</v>
      </c>
      <c r="C11" s="288">
        <v>70</v>
      </c>
      <c r="D11" s="289">
        <v>340</v>
      </c>
      <c r="E11" s="290">
        <f t="shared" si="1"/>
        <v>102</v>
      </c>
      <c r="F11" s="291">
        <v>35</v>
      </c>
      <c r="G11" s="291">
        <v>29</v>
      </c>
      <c r="H11" s="291">
        <v>17</v>
      </c>
      <c r="I11" s="291">
        <v>8</v>
      </c>
      <c r="J11" s="291">
        <v>6</v>
      </c>
      <c r="K11" s="291">
        <v>5</v>
      </c>
      <c r="L11" s="995">
        <v>2</v>
      </c>
      <c r="M11" s="996">
        <v>20</v>
      </c>
      <c r="N11" s="288">
        <v>32</v>
      </c>
      <c r="O11" s="288">
        <v>34</v>
      </c>
      <c r="P11" s="288">
        <v>19</v>
      </c>
      <c r="Q11" s="293">
        <f t="shared" si="0"/>
        <v>642</v>
      </c>
      <c r="R11" s="287"/>
      <c r="S11" s="279"/>
    </row>
    <row r="12" spans="1:19" s="13" customFormat="1" ht="15" customHeight="1">
      <c r="A12" s="44" t="s">
        <v>64</v>
      </c>
      <c r="B12" s="288">
        <v>16</v>
      </c>
      <c r="C12" s="288">
        <v>24</v>
      </c>
      <c r="D12" s="289">
        <v>196</v>
      </c>
      <c r="E12" s="290">
        <f t="shared" si="1"/>
        <v>32</v>
      </c>
      <c r="F12" s="291">
        <v>15</v>
      </c>
      <c r="G12" s="995">
        <v>5</v>
      </c>
      <c r="H12" s="997">
        <v>6</v>
      </c>
      <c r="I12" s="301" t="s">
        <v>122</v>
      </c>
      <c r="J12" s="291">
        <v>6</v>
      </c>
      <c r="K12" s="301" t="s">
        <v>122</v>
      </c>
      <c r="L12" s="993" t="s">
        <v>122</v>
      </c>
      <c r="M12" s="991">
        <v>9</v>
      </c>
      <c r="N12" s="288">
        <v>24</v>
      </c>
      <c r="O12" s="288">
        <v>20</v>
      </c>
      <c r="P12" s="295">
        <v>4</v>
      </c>
      <c r="Q12" s="293">
        <f t="shared" si="0"/>
        <v>325</v>
      </c>
      <c r="R12" s="287"/>
      <c r="S12" s="279"/>
    </row>
    <row r="13" spans="1:19" s="13" customFormat="1" ht="16.5" customHeight="1">
      <c r="A13" s="50" t="s">
        <v>120</v>
      </c>
      <c r="B13" s="281">
        <f>SUM(B4:B12)</f>
        <v>281</v>
      </c>
      <c r="C13" s="281">
        <f aca="true" t="shared" si="2" ref="C13:Q13">SUM(C4:C12)</f>
        <v>915</v>
      </c>
      <c r="D13" s="281">
        <f t="shared" si="2"/>
        <v>3920</v>
      </c>
      <c r="E13" s="283">
        <f>SUM(E4:E12)</f>
        <v>1309</v>
      </c>
      <c r="F13" s="296">
        <f t="shared" si="2"/>
        <v>569</v>
      </c>
      <c r="G13" s="296">
        <f t="shared" si="2"/>
        <v>302</v>
      </c>
      <c r="H13" s="296">
        <f t="shared" si="2"/>
        <v>182</v>
      </c>
      <c r="I13" s="297">
        <f t="shared" si="2"/>
        <v>87</v>
      </c>
      <c r="J13" s="296">
        <f t="shared" si="2"/>
        <v>53</v>
      </c>
      <c r="K13" s="296">
        <f t="shared" si="2"/>
        <v>92</v>
      </c>
      <c r="L13" s="281">
        <f t="shared" si="2"/>
        <v>24</v>
      </c>
      <c r="M13" s="281">
        <f>SUM(M4:M12)</f>
        <v>207</v>
      </c>
      <c r="N13" s="281">
        <f t="shared" si="2"/>
        <v>539</v>
      </c>
      <c r="O13" s="281">
        <f t="shared" si="2"/>
        <v>364</v>
      </c>
      <c r="P13" s="281">
        <f t="shared" si="2"/>
        <v>129</v>
      </c>
      <c r="Q13" s="281">
        <f t="shared" si="2"/>
        <v>7664</v>
      </c>
      <c r="R13" s="298"/>
      <c r="S13" s="279"/>
    </row>
    <row r="14" spans="1:19" s="13" customFormat="1" ht="16.5" customHeight="1">
      <c r="A14" s="44" t="s">
        <v>121</v>
      </c>
      <c r="B14" s="288">
        <v>14</v>
      </c>
      <c r="C14" s="288">
        <v>24</v>
      </c>
      <c r="D14" s="289">
        <v>206</v>
      </c>
      <c r="E14" s="299">
        <f>SUM(F14:L14)</f>
        <v>0</v>
      </c>
      <c r="F14" s="300" t="s">
        <v>122</v>
      </c>
      <c r="G14" s="300" t="s">
        <v>122</v>
      </c>
      <c r="H14" s="300" t="s">
        <v>122</v>
      </c>
      <c r="I14" s="301" t="s">
        <v>122</v>
      </c>
      <c r="J14" s="300" t="s">
        <v>122</v>
      </c>
      <c r="K14" s="300" t="s">
        <v>122</v>
      </c>
      <c r="L14" s="302">
        <v>0</v>
      </c>
      <c r="M14" s="288">
        <v>14</v>
      </c>
      <c r="N14" s="288">
        <v>46</v>
      </c>
      <c r="O14" s="288">
        <v>50</v>
      </c>
      <c r="P14" s="288">
        <v>28</v>
      </c>
      <c r="Q14" s="303">
        <f>SUM(B14,C14,D14,E14,M14,N14,O14,P14)</f>
        <v>382</v>
      </c>
      <c r="R14" s="287"/>
      <c r="S14" s="279"/>
    </row>
    <row r="15" spans="1:19" s="13" customFormat="1" ht="21" customHeight="1">
      <c r="A15" s="53" t="s">
        <v>90</v>
      </c>
      <c r="B15" s="304">
        <f>SUM(B13:B14)</f>
        <v>295</v>
      </c>
      <c r="C15" s="304">
        <f>SUM(C13:C14)</f>
        <v>939</v>
      </c>
      <c r="D15" s="305">
        <f>SUM(D13:D14)</f>
        <v>4126</v>
      </c>
      <c r="E15" s="284">
        <f>SUM(F15:L15)</f>
        <v>1309</v>
      </c>
      <c r="F15" s="284">
        <f aca="true" t="shared" si="3" ref="F15:L15">SUM(F13:F14)</f>
        <v>569</v>
      </c>
      <c r="G15" s="284">
        <f t="shared" si="3"/>
        <v>302</v>
      </c>
      <c r="H15" s="284">
        <f t="shared" si="3"/>
        <v>182</v>
      </c>
      <c r="I15" s="284">
        <f t="shared" si="3"/>
        <v>87</v>
      </c>
      <c r="J15" s="284">
        <f t="shared" si="3"/>
        <v>53</v>
      </c>
      <c r="K15" s="284">
        <f t="shared" si="3"/>
        <v>92</v>
      </c>
      <c r="L15" s="306">
        <f t="shared" si="3"/>
        <v>24</v>
      </c>
      <c r="M15" s="304">
        <f>SUM(M13:M14)</f>
        <v>221</v>
      </c>
      <c r="N15" s="304">
        <f>SUM(N13:N14)</f>
        <v>585</v>
      </c>
      <c r="O15" s="304">
        <f>SUM(O13:O14)</f>
        <v>414</v>
      </c>
      <c r="P15" s="304">
        <f>SUM(P13:P14)</f>
        <v>157</v>
      </c>
      <c r="Q15" s="304">
        <f>SUM(Q13:Q14)</f>
        <v>8046</v>
      </c>
      <c r="R15" s="287"/>
      <c r="S15" s="279"/>
    </row>
    <row r="16" spans="1:18" ht="9" customHeight="1">
      <c r="A16" s="308"/>
      <c r="B16" s="309"/>
      <c r="C16" s="309"/>
      <c r="D16" s="310"/>
      <c r="E16" s="309"/>
      <c r="F16" s="309"/>
      <c r="G16" s="309"/>
      <c r="H16" s="309"/>
      <c r="I16" s="309"/>
      <c r="J16" s="309"/>
      <c r="K16" s="309"/>
      <c r="L16" s="310"/>
      <c r="M16" s="309"/>
      <c r="N16" s="309"/>
      <c r="O16" s="309"/>
      <c r="P16" s="309"/>
      <c r="Q16" s="311"/>
      <c r="R16" s="312"/>
    </row>
    <row r="17" spans="1:18" ht="20.25" customHeight="1">
      <c r="A17" s="267" t="s">
        <v>402</v>
      </c>
      <c r="B17" s="268"/>
      <c r="C17" s="268"/>
      <c r="D17" s="268"/>
      <c r="E17" s="268"/>
      <c r="F17" s="268"/>
      <c r="G17" s="268"/>
      <c r="H17" s="268"/>
      <c r="I17" s="268"/>
      <c r="J17" s="1270"/>
      <c r="K17" s="315"/>
      <c r="L17" s="315"/>
      <c r="M17" s="315"/>
      <c r="N17" s="316"/>
      <c r="O17" s="316"/>
      <c r="P17" s="315"/>
      <c r="Q17" s="317"/>
      <c r="R17" s="278"/>
    </row>
    <row r="18" spans="1:18" ht="5.25" customHeight="1">
      <c r="A18" s="318"/>
      <c r="B18" s="268"/>
      <c r="C18" s="268"/>
      <c r="D18" s="268"/>
      <c r="E18" s="268"/>
      <c r="F18" s="268"/>
      <c r="G18" s="268"/>
      <c r="H18" s="268"/>
      <c r="I18" s="268"/>
      <c r="J18" s="319"/>
      <c r="K18" s="319"/>
      <c r="L18" s="319"/>
      <c r="M18" s="319"/>
      <c r="N18" s="320"/>
      <c r="O18" s="320"/>
      <c r="P18" s="319"/>
      <c r="Q18" s="321"/>
      <c r="R18" s="278"/>
    </row>
    <row r="19" spans="1:18" ht="63" customHeight="1">
      <c r="A19" s="270" t="s">
        <v>31</v>
      </c>
      <c r="B19" s="271" t="s">
        <v>106</v>
      </c>
      <c r="C19" s="272"/>
      <c r="D19" s="272"/>
      <c r="E19" s="273" t="s">
        <v>107</v>
      </c>
      <c r="F19" s="273" t="s">
        <v>108</v>
      </c>
      <c r="G19" s="273" t="s">
        <v>109</v>
      </c>
      <c r="H19" s="273" t="s">
        <v>110</v>
      </c>
      <c r="I19" s="274" t="s">
        <v>111</v>
      </c>
      <c r="J19" s="273" t="s">
        <v>112</v>
      </c>
      <c r="K19" s="273" t="s">
        <v>113</v>
      </c>
      <c r="L19" s="275"/>
      <c r="M19" s="276" t="s">
        <v>114</v>
      </c>
      <c r="N19" s="276" t="s">
        <v>115</v>
      </c>
      <c r="O19" s="276" t="s">
        <v>116</v>
      </c>
      <c r="P19" s="276" t="s">
        <v>117</v>
      </c>
      <c r="Q19" s="277" t="s">
        <v>118</v>
      </c>
      <c r="R19" s="312"/>
    </row>
    <row r="20" spans="1:19" s="2" customFormat="1" ht="18.75" customHeight="1">
      <c r="A20" s="50" t="s">
        <v>32</v>
      </c>
      <c r="B20" s="281">
        <v>91</v>
      </c>
      <c r="C20" s="281">
        <v>307</v>
      </c>
      <c r="D20" s="282">
        <v>1312</v>
      </c>
      <c r="E20" s="283">
        <f>SUM(F20:L20)</f>
        <v>473</v>
      </c>
      <c r="F20" s="284">
        <v>230</v>
      </c>
      <c r="G20" s="284">
        <v>110</v>
      </c>
      <c r="H20" s="284">
        <v>65</v>
      </c>
      <c r="I20" s="284">
        <v>25</v>
      </c>
      <c r="J20" s="284">
        <v>1</v>
      </c>
      <c r="K20" s="284">
        <v>37</v>
      </c>
      <c r="L20" s="285">
        <v>5</v>
      </c>
      <c r="M20" s="281">
        <v>66</v>
      </c>
      <c r="N20" s="281">
        <v>180</v>
      </c>
      <c r="O20" s="281">
        <v>124</v>
      </c>
      <c r="P20" s="281">
        <v>23</v>
      </c>
      <c r="Q20" s="286">
        <f aca="true" t="shared" si="4" ref="Q20:Q25">SUM(B20,C20,D20,E20,M20,N20,O20,P20)</f>
        <v>2576</v>
      </c>
      <c r="R20" s="322"/>
      <c r="S20" s="323"/>
    </row>
    <row r="21" spans="1:19" s="2" customFormat="1" ht="18.75" customHeight="1">
      <c r="A21" s="44" t="s">
        <v>33</v>
      </c>
      <c r="B21" s="288">
        <v>74</v>
      </c>
      <c r="C21" s="288">
        <v>199</v>
      </c>
      <c r="D21" s="289">
        <v>1041</v>
      </c>
      <c r="E21" s="290">
        <f>SUM(F21:L21)</f>
        <v>351</v>
      </c>
      <c r="F21" s="291">
        <v>155</v>
      </c>
      <c r="G21" s="291">
        <v>94</v>
      </c>
      <c r="H21" s="291">
        <v>47</v>
      </c>
      <c r="I21" s="291">
        <v>21</v>
      </c>
      <c r="J21" s="324">
        <v>16</v>
      </c>
      <c r="K21" s="291">
        <v>10</v>
      </c>
      <c r="L21" s="294">
        <v>8</v>
      </c>
      <c r="M21" s="288">
        <v>57</v>
      </c>
      <c r="N21" s="288">
        <v>136</v>
      </c>
      <c r="O21" s="288">
        <v>98</v>
      </c>
      <c r="P21" s="288">
        <v>35</v>
      </c>
      <c r="Q21" s="293">
        <f t="shared" si="4"/>
        <v>1991</v>
      </c>
      <c r="R21" s="322"/>
      <c r="S21" s="323"/>
    </row>
    <row r="22" spans="1:19" s="2" customFormat="1" ht="18.75" customHeight="1">
      <c r="A22" s="44" t="s">
        <v>34</v>
      </c>
      <c r="B22" s="288">
        <v>64</v>
      </c>
      <c r="C22" s="288">
        <v>213</v>
      </c>
      <c r="D22" s="289">
        <v>842</v>
      </c>
      <c r="E22" s="290">
        <f>SUM(F22:L22)</f>
        <v>268</v>
      </c>
      <c r="F22" s="291">
        <v>98</v>
      </c>
      <c r="G22" s="291">
        <v>48</v>
      </c>
      <c r="H22" s="291">
        <v>41</v>
      </c>
      <c r="I22" s="291">
        <v>27</v>
      </c>
      <c r="J22" s="324">
        <v>17</v>
      </c>
      <c r="K22" s="291">
        <v>33</v>
      </c>
      <c r="L22" s="294">
        <v>4</v>
      </c>
      <c r="M22" s="288">
        <v>46</v>
      </c>
      <c r="N22" s="288">
        <v>126</v>
      </c>
      <c r="O22" s="288">
        <v>93</v>
      </c>
      <c r="P22" s="288">
        <v>33</v>
      </c>
      <c r="Q22" s="293">
        <f t="shared" si="4"/>
        <v>1685</v>
      </c>
      <c r="R22" s="322"/>
      <c r="S22" s="323"/>
    </row>
    <row r="23" spans="1:19" s="2" customFormat="1" ht="29.25" customHeight="1">
      <c r="A23" s="866" t="s">
        <v>248</v>
      </c>
      <c r="B23" s="288">
        <v>52</v>
      </c>
      <c r="C23" s="288">
        <v>196</v>
      </c>
      <c r="D23" s="289">
        <v>725</v>
      </c>
      <c r="E23" s="290">
        <f>SUM(F23:L23)</f>
        <v>217</v>
      </c>
      <c r="F23" s="291">
        <v>86</v>
      </c>
      <c r="G23" s="291">
        <v>50</v>
      </c>
      <c r="H23" s="291">
        <v>29</v>
      </c>
      <c r="I23" s="291">
        <v>14</v>
      </c>
      <c r="J23" s="291">
        <v>19</v>
      </c>
      <c r="K23" s="291">
        <v>12</v>
      </c>
      <c r="L23" s="325">
        <v>7</v>
      </c>
      <c r="M23" s="288">
        <v>38</v>
      </c>
      <c r="N23" s="288">
        <v>97</v>
      </c>
      <c r="O23" s="288">
        <v>49</v>
      </c>
      <c r="P23" s="288">
        <v>38</v>
      </c>
      <c r="Q23" s="293">
        <f t="shared" si="4"/>
        <v>1412</v>
      </c>
      <c r="R23" s="322"/>
      <c r="S23" s="323"/>
    </row>
    <row r="24" spans="1:19" s="2" customFormat="1" ht="20.25" customHeight="1">
      <c r="A24" s="44" t="s">
        <v>430</v>
      </c>
      <c r="B24" s="288">
        <v>14</v>
      </c>
      <c r="C24" s="288">
        <v>24</v>
      </c>
      <c r="D24" s="289">
        <v>206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990">
        <v>0</v>
      </c>
      <c r="M24" s="991">
        <v>14</v>
      </c>
      <c r="N24" s="288">
        <v>46</v>
      </c>
      <c r="O24" s="288">
        <v>50</v>
      </c>
      <c r="P24" s="289">
        <v>28</v>
      </c>
      <c r="Q24" s="293">
        <f t="shared" si="4"/>
        <v>382</v>
      </c>
      <c r="R24" s="322"/>
      <c r="S24" s="323"/>
    </row>
    <row r="25" spans="1:19" s="2" customFormat="1" ht="24.75" customHeight="1">
      <c r="A25" s="53" t="s">
        <v>48</v>
      </c>
      <c r="B25" s="326">
        <f aca="true" t="shared" si="5" ref="B25:P25">SUM(B20:B24)</f>
        <v>295</v>
      </c>
      <c r="C25" s="304">
        <f t="shared" si="5"/>
        <v>939</v>
      </c>
      <c r="D25" s="304">
        <f t="shared" si="5"/>
        <v>4126</v>
      </c>
      <c r="E25" s="327">
        <f t="shared" si="5"/>
        <v>1309</v>
      </c>
      <c r="F25" s="328">
        <f t="shared" si="5"/>
        <v>569</v>
      </c>
      <c r="G25" s="328">
        <f t="shared" si="5"/>
        <v>302</v>
      </c>
      <c r="H25" s="328">
        <f t="shared" si="5"/>
        <v>182</v>
      </c>
      <c r="I25" s="328">
        <f t="shared" si="5"/>
        <v>87</v>
      </c>
      <c r="J25" s="328">
        <f t="shared" si="5"/>
        <v>53</v>
      </c>
      <c r="K25" s="328">
        <f t="shared" si="5"/>
        <v>92</v>
      </c>
      <c r="L25" s="329">
        <f t="shared" si="5"/>
        <v>24</v>
      </c>
      <c r="M25" s="330">
        <f t="shared" si="5"/>
        <v>221</v>
      </c>
      <c r="N25" s="326">
        <f t="shared" si="5"/>
        <v>585</v>
      </c>
      <c r="O25" s="326">
        <f t="shared" si="5"/>
        <v>414</v>
      </c>
      <c r="P25" s="326">
        <f t="shared" si="5"/>
        <v>157</v>
      </c>
      <c r="Q25" s="307">
        <f t="shared" si="4"/>
        <v>8046</v>
      </c>
      <c r="R25" s="322"/>
      <c r="S25" s="323"/>
    </row>
    <row r="26" spans="1:18" ht="6.75" customHeight="1">
      <c r="A26" s="331"/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3"/>
      <c r="R26" s="312"/>
    </row>
    <row r="27" spans="1:19" ht="12.75">
      <c r="A27" s="13" t="s">
        <v>123</v>
      </c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5"/>
      <c r="S27" s="335"/>
    </row>
    <row r="28" spans="2:19" ht="12"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5"/>
      <c r="S28" s="335"/>
    </row>
    <row r="29" spans="2:19" ht="12"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5"/>
      <c r="S29" s="335"/>
    </row>
    <row r="30" spans="2:19" ht="12"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5"/>
      <c r="S30" s="335"/>
    </row>
  </sheetData>
  <sheetProtection/>
  <printOptions/>
  <pageMargins left="0.32" right="0.24" top="0.7" bottom="0.33" header="0.3" footer="0.16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pane xSplit="9" ySplit="5" topLeftCell="M6" activePane="bottomRight" state="frozen"/>
      <selection pane="topLeft" activeCell="B12" sqref="B12:H12"/>
      <selection pane="topRight" activeCell="B12" sqref="B12:H12"/>
      <selection pane="bottomLeft" activeCell="B12" sqref="B12:H12"/>
      <selection pane="bottomRight" activeCell="T10" sqref="T10"/>
    </sheetView>
  </sheetViews>
  <sheetFormatPr defaultColWidth="9.140625" defaultRowHeight="12.75"/>
  <cols>
    <col min="1" max="1" width="12.140625" style="98" customWidth="1"/>
    <col min="2" max="2" width="13.8515625" style="98" customWidth="1"/>
    <col min="3" max="3" width="10.7109375" style="98" customWidth="1"/>
    <col min="4" max="8" width="10.7109375" style="98" hidden="1" customWidth="1"/>
    <col min="9" max="9" width="10.00390625" style="98" hidden="1" customWidth="1"/>
    <col min="10" max="12" width="10.421875" style="98" hidden="1" customWidth="1"/>
    <col min="13" max="18" width="10.421875" style="98" customWidth="1"/>
    <col min="19" max="16384" width="9.140625" style="98" customWidth="1"/>
  </cols>
  <sheetData>
    <row r="1" spans="1:22" ht="23.25" customHeight="1">
      <c r="A1" s="408" t="s">
        <v>403</v>
      </c>
      <c r="B1" s="337"/>
      <c r="C1" s="337"/>
      <c r="D1" s="337"/>
      <c r="E1" s="337"/>
      <c r="F1" s="337"/>
      <c r="G1"/>
      <c r="H1"/>
      <c r="I1"/>
      <c r="J1" s="338"/>
      <c r="K1" s="338"/>
      <c r="L1" s="338"/>
      <c r="V1"/>
    </row>
    <row r="2" spans="1:12" ht="3.75" customHeight="1">
      <c r="A2" s="336"/>
      <c r="B2" s="337"/>
      <c r="C2" s="337"/>
      <c r="D2" s="337"/>
      <c r="E2" s="337"/>
      <c r="F2" s="337"/>
      <c r="K2" s="339"/>
      <c r="L2" s="339"/>
    </row>
    <row r="3" spans="1:6" ht="18.75" customHeight="1" thickBot="1">
      <c r="A3" s="340" t="s">
        <v>124</v>
      </c>
      <c r="B3" s="337"/>
      <c r="C3" s="337"/>
      <c r="D3" s="337"/>
      <c r="E3" s="337"/>
      <c r="F3" s="337"/>
    </row>
    <row r="4" spans="1:21" ht="23.25" customHeight="1">
      <c r="A4" s="1465"/>
      <c r="B4" s="1466"/>
      <c r="C4" s="1467"/>
      <c r="D4" s="341">
        <v>2004</v>
      </c>
      <c r="E4" s="342"/>
      <c r="F4" s="343"/>
      <c r="G4" s="341">
        <v>2005</v>
      </c>
      <c r="H4" s="342"/>
      <c r="I4" s="343"/>
      <c r="J4" s="341">
        <v>2006</v>
      </c>
      <c r="K4" s="342"/>
      <c r="L4" s="343"/>
      <c r="M4" s="1471">
        <v>2007</v>
      </c>
      <c r="N4" s="1472"/>
      <c r="O4" s="1473"/>
      <c r="P4" s="1471">
        <v>2008</v>
      </c>
      <c r="Q4" s="1472"/>
      <c r="R4" s="1473"/>
      <c r="S4" s="1471">
        <v>2009</v>
      </c>
      <c r="T4" s="1472"/>
      <c r="U4" s="1473"/>
    </row>
    <row r="5" spans="1:21" ht="30.75" customHeight="1">
      <c r="A5" s="1468"/>
      <c r="B5" s="1469"/>
      <c r="C5" s="1470"/>
      <c r="D5" s="344" t="s">
        <v>125</v>
      </c>
      <c r="E5" s="345" t="s">
        <v>126</v>
      </c>
      <c r="F5" s="346" t="s">
        <v>127</v>
      </c>
      <c r="G5" s="344" t="s">
        <v>125</v>
      </c>
      <c r="H5" s="345" t="s">
        <v>126</v>
      </c>
      <c r="I5" s="346" t="s">
        <v>127</v>
      </c>
      <c r="J5" s="344" t="s">
        <v>125</v>
      </c>
      <c r="K5" s="1083" t="s">
        <v>329</v>
      </c>
      <c r="L5" s="1085" t="s">
        <v>330</v>
      </c>
      <c r="M5" s="1086" t="s">
        <v>125</v>
      </c>
      <c r="N5" s="1083" t="s">
        <v>329</v>
      </c>
      <c r="O5" s="1085" t="s">
        <v>330</v>
      </c>
      <c r="P5" s="1086" t="s">
        <v>125</v>
      </c>
      <c r="Q5" s="1083" t="s">
        <v>329</v>
      </c>
      <c r="R5" s="1087" t="s">
        <v>330</v>
      </c>
      <c r="S5" s="1086" t="s">
        <v>125</v>
      </c>
      <c r="T5" s="1083" t="s">
        <v>329</v>
      </c>
      <c r="U5" s="1087" t="s">
        <v>330</v>
      </c>
    </row>
    <row r="6" spans="1:21" ht="44.25" customHeight="1">
      <c r="A6" s="347" t="s">
        <v>100</v>
      </c>
      <c r="B6" s="348"/>
      <c r="C6" s="349" t="s">
        <v>5</v>
      </c>
      <c r="D6" s="350">
        <f>SUM(D7:D8)</f>
        <v>27332</v>
      </c>
      <c r="E6" s="351">
        <f>SUM(E7:E8)</f>
        <v>17217</v>
      </c>
      <c r="F6" s="352">
        <f aca="true" t="shared" si="0" ref="F6:F14">E6/D6*100</f>
        <v>62.992097175471976</v>
      </c>
      <c r="G6" s="350">
        <f>SUM(G7:G8)</f>
        <v>27117</v>
      </c>
      <c r="H6" s="351">
        <f>SUM(H7:H8)</f>
        <v>17596</v>
      </c>
      <c r="I6" s="352">
        <f aca="true" t="shared" si="1" ref="I6:I14">H6/G6*100</f>
        <v>64.88918390677435</v>
      </c>
      <c r="J6" s="350">
        <f>SUM(J7:J8)</f>
        <v>25007</v>
      </c>
      <c r="K6" s="351">
        <f>SUM(K7:K8)</f>
        <v>16987</v>
      </c>
      <c r="L6" s="352">
        <f>K6/J6*100</f>
        <v>67.92897988563202</v>
      </c>
      <c r="M6" s="350">
        <f>SUM(M7:M8)</f>
        <v>24050</v>
      </c>
      <c r="N6" s="351">
        <f>SUM(N7:N8)</f>
        <v>15915</v>
      </c>
      <c r="O6" s="352">
        <f aca="true" t="shared" si="2" ref="O6:O14">N6/M6*100</f>
        <v>66.17463617463616</v>
      </c>
      <c r="P6" s="350">
        <f>SUM(P7:P8)</f>
        <v>23664</v>
      </c>
      <c r="Q6" s="351">
        <f>SUM(Q7:Q8)</f>
        <v>15957</v>
      </c>
      <c r="R6" s="352">
        <f aca="true" t="shared" si="3" ref="R6:R14">Q6/P6*100</f>
        <v>67.4315415821501</v>
      </c>
      <c r="S6" s="350">
        <f>SUM(S7:S8)</f>
        <v>22620</v>
      </c>
      <c r="T6" s="351">
        <f>SUM(T7:T8)</f>
        <v>15411</v>
      </c>
      <c r="U6" s="352">
        <f aca="true" t="shared" si="4" ref="U6:U14">T6/S6*100</f>
        <v>68.12997347480106</v>
      </c>
    </row>
    <row r="7" spans="1:21" ht="44.25" customHeight="1">
      <c r="A7" s="353" t="s">
        <v>97</v>
      </c>
      <c r="B7" s="354"/>
      <c r="C7" s="349" t="s">
        <v>39</v>
      </c>
      <c r="D7" s="355">
        <f>D10+D13</f>
        <v>14084</v>
      </c>
      <c r="E7" s="351">
        <f>E10+E13</f>
        <v>8152</v>
      </c>
      <c r="F7" s="352">
        <f t="shared" si="0"/>
        <v>57.881283726214136</v>
      </c>
      <c r="G7" s="355">
        <f>G10+G13</f>
        <v>13981</v>
      </c>
      <c r="H7" s="351">
        <f>H10+H13</f>
        <v>8244</v>
      </c>
      <c r="I7" s="352">
        <f t="shared" si="1"/>
        <v>58.96573921750947</v>
      </c>
      <c r="J7" s="355">
        <f>J10+J13</f>
        <v>12942</v>
      </c>
      <c r="K7" s="351">
        <f>K10+K13</f>
        <v>8028</v>
      </c>
      <c r="L7" s="352">
        <f>K7/J7*100</f>
        <v>62.03059805285118</v>
      </c>
      <c r="M7" s="355">
        <f>M10+M13</f>
        <v>12368</v>
      </c>
      <c r="N7" s="351">
        <f>N10+N13</f>
        <v>7428</v>
      </c>
      <c r="O7" s="352">
        <f t="shared" si="2"/>
        <v>60.058214747736095</v>
      </c>
      <c r="P7" s="355">
        <f>P10+P13</f>
        <v>12299</v>
      </c>
      <c r="Q7" s="351">
        <f>Q10+Q13</f>
        <v>7633</v>
      </c>
      <c r="R7" s="352">
        <f t="shared" si="3"/>
        <v>62.06195625660623</v>
      </c>
      <c r="S7" s="355">
        <f>S10+S13</f>
        <v>11764</v>
      </c>
      <c r="T7" s="351">
        <f>T10+T13</f>
        <v>7328</v>
      </c>
      <c r="U7" s="352">
        <f t="shared" si="4"/>
        <v>62.29173750425026</v>
      </c>
    </row>
    <row r="8" spans="1:21" ht="44.25" customHeight="1">
      <c r="A8" s="356" t="s">
        <v>97</v>
      </c>
      <c r="B8" s="357"/>
      <c r="C8" s="358" t="s">
        <v>40</v>
      </c>
      <c r="D8" s="359">
        <f>D11+D14</f>
        <v>13248</v>
      </c>
      <c r="E8" s="360">
        <f>E11+E14</f>
        <v>9065</v>
      </c>
      <c r="F8" s="361">
        <f t="shared" si="0"/>
        <v>68.425422705314</v>
      </c>
      <c r="G8" s="359">
        <f>G11+G14</f>
        <v>13136</v>
      </c>
      <c r="H8" s="360">
        <f>H11+H14</f>
        <v>9352</v>
      </c>
      <c r="I8" s="361">
        <f t="shared" si="1"/>
        <v>71.19366626065774</v>
      </c>
      <c r="J8" s="359">
        <f>J11+J14</f>
        <v>12065</v>
      </c>
      <c r="K8" s="360">
        <f>K11+K14</f>
        <v>8959</v>
      </c>
      <c r="L8" s="361">
        <f>K8/J8*100</f>
        <v>74.25611272275177</v>
      </c>
      <c r="M8" s="359">
        <f>M11+M14</f>
        <v>11682</v>
      </c>
      <c r="N8" s="360">
        <f>N11+N14</f>
        <v>8487</v>
      </c>
      <c r="O8" s="361">
        <f t="shared" si="2"/>
        <v>72.65023112480739</v>
      </c>
      <c r="P8" s="359">
        <f>P11+P14</f>
        <v>11365</v>
      </c>
      <c r="Q8" s="360">
        <f>Q11+Q14</f>
        <v>8324</v>
      </c>
      <c r="R8" s="361">
        <f t="shared" si="3"/>
        <v>73.24241091069071</v>
      </c>
      <c r="S8" s="359">
        <f>S11+S14</f>
        <v>10856</v>
      </c>
      <c r="T8" s="360">
        <f>T11+T14</f>
        <v>8083</v>
      </c>
      <c r="U8" s="361">
        <f t="shared" si="4"/>
        <v>74.45652173913044</v>
      </c>
    </row>
    <row r="9" spans="1:21" ht="44.25" customHeight="1">
      <c r="A9" s="362" t="s">
        <v>2</v>
      </c>
      <c r="B9" s="363"/>
      <c r="C9" s="364" t="s">
        <v>5</v>
      </c>
      <c r="D9" s="350">
        <f>SUM(D10:D11)</f>
        <v>26318</v>
      </c>
      <c r="E9" s="351">
        <f>SUM(E10:E11)</f>
        <v>16681</v>
      </c>
      <c r="F9" s="352">
        <f t="shared" si="0"/>
        <v>63.382475872026745</v>
      </c>
      <c r="G9" s="350">
        <f>SUM(G10:G11)</f>
        <v>26038</v>
      </c>
      <c r="H9" s="351">
        <f>SUM(H10:H11)</f>
        <v>16993</v>
      </c>
      <c r="I9" s="352">
        <f t="shared" si="1"/>
        <v>65.26230893309778</v>
      </c>
      <c r="J9" s="350">
        <f>SUM(J10:J11)</f>
        <v>23986</v>
      </c>
      <c r="K9" s="351">
        <f>SUM(K10:K11)</f>
        <v>16424</v>
      </c>
      <c r="L9" s="352">
        <f>K9/J9*100</f>
        <v>68.473276077712</v>
      </c>
      <c r="M9" s="350">
        <v>23078</v>
      </c>
      <c r="N9" s="351">
        <f>SUM(N10:N11)</f>
        <v>15431</v>
      </c>
      <c r="O9" s="352">
        <f t="shared" si="2"/>
        <v>66.86454632117169</v>
      </c>
      <c r="P9" s="350">
        <v>22662</v>
      </c>
      <c r="Q9" s="351">
        <v>15404</v>
      </c>
      <c r="R9" s="352">
        <f t="shared" si="3"/>
        <v>67.97281793310388</v>
      </c>
      <c r="S9" s="350">
        <f>SUM(S10:S11)</f>
        <v>21675</v>
      </c>
      <c r="T9" s="351">
        <f>SUM(T10:T11)</f>
        <v>14871</v>
      </c>
      <c r="U9" s="352">
        <f t="shared" si="4"/>
        <v>68.60899653979239</v>
      </c>
    </row>
    <row r="10" spans="1:21" ht="44.25" customHeight="1">
      <c r="A10" s="365"/>
      <c r="B10" s="366"/>
      <c r="C10" s="349" t="s">
        <v>39</v>
      </c>
      <c r="D10" s="355">
        <v>13548</v>
      </c>
      <c r="E10" s="367">
        <v>7895</v>
      </c>
      <c r="F10" s="352">
        <f t="shared" si="0"/>
        <v>58.27428402716268</v>
      </c>
      <c r="G10" s="355">
        <v>13438</v>
      </c>
      <c r="H10" s="367">
        <v>7970</v>
      </c>
      <c r="I10" s="352">
        <f t="shared" si="1"/>
        <v>59.30942104479834</v>
      </c>
      <c r="J10" s="355">
        <v>12426</v>
      </c>
      <c r="K10" s="367">
        <v>7787</v>
      </c>
      <c r="L10" s="352">
        <v>62.7</v>
      </c>
      <c r="M10" s="355">
        <v>11877</v>
      </c>
      <c r="N10" s="367">
        <v>7222</v>
      </c>
      <c r="O10" s="352">
        <f t="shared" si="2"/>
        <v>60.80660099351688</v>
      </c>
      <c r="P10" s="355">
        <v>11769</v>
      </c>
      <c r="Q10" s="367">
        <v>7368</v>
      </c>
      <c r="R10" s="352">
        <f t="shared" si="3"/>
        <v>62.60514912057099</v>
      </c>
      <c r="S10" s="355">
        <v>11262</v>
      </c>
      <c r="T10" s="367">
        <v>7079</v>
      </c>
      <c r="U10" s="352">
        <f t="shared" si="4"/>
        <v>62.85739655478601</v>
      </c>
    </row>
    <row r="11" spans="1:21" ht="44.25" customHeight="1">
      <c r="A11" s="368"/>
      <c r="B11" s="369" t="s">
        <v>97</v>
      </c>
      <c r="C11" s="358" t="s">
        <v>40</v>
      </c>
      <c r="D11" s="359">
        <v>12770</v>
      </c>
      <c r="E11" s="370">
        <v>8786</v>
      </c>
      <c r="F11" s="361">
        <f t="shared" si="0"/>
        <v>68.80187940485513</v>
      </c>
      <c r="G11" s="359">
        <v>12600</v>
      </c>
      <c r="H11" s="370">
        <v>9023</v>
      </c>
      <c r="I11" s="361">
        <f t="shared" si="1"/>
        <v>71.61111111111111</v>
      </c>
      <c r="J11" s="359">
        <v>11560</v>
      </c>
      <c r="K11" s="370">
        <v>8637</v>
      </c>
      <c r="L11" s="361">
        <v>74.7</v>
      </c>
      <c r="M11" s="359">
        <v>11201</v>
      </c>
      <c r="N11" s="370">
        <v>8209</v>
      </c>
      <c r="O11" s="361">
        <f t="shared" si="2"/>
        <v>73.28809927685029</v>
      </c>
      <c r="P11" s="359">
        <v>10893</v>
      </c>
      <c r="Q11" s="370">
        <v>8036</v>
      </c>
      <c r="R11" s="361">
        <f t="shared" si="3"/>
        <v>73.77214725052787</v>
      </c>
      <c r="S11" s="359">
        <v>10413</v>
      </c>
      <c r="T11" s="370">
        <v>7792</v>
      </c>
      <c r="U11" s="361">
        <f t="shared" si="4"/>
        <v>74.82953999807933</v>
      </c>
    </row>
    <row r="12" spans="1:21" ht="44.25" customHeight="1">
      <c r="A12" s="371" t="s">
        <v>128</v>
      </c>
      <c r="B12" s="372"/>
      <c r="C12" s="349" t="s">
        <v>5</v>
      </c>
      <c r="D12" s="350">
        <f>SUM(D13:D14)</f>
        <v>1014</v>
      </c>
      <c r="E12" s="351">
        <f>SUM(E13:E14)</f>
        <v>536</v>
      </c>
      <c r="F12" s="352">
        <f t="shared" si="0"/>
        <v>52.85996055226825</v>
      </c>
      <c r="G12" s="350">
        <f>SUM(G13:G14)</f>
        <v>1079</v>
      </c>
      <c r="H12" s="351">
        <f>SUM(H13:H14)</f>
        <v>603</v>
      </c>
      <c r="I12" s="352">
        <f t="shared" si="1"/>
        <v>55.88507877664504</v>
      </c>
      <c r="J12" s="350">
        <f>SUM(J13:J14)</f>
        <v>1021</v>
      </c>
      <c r="K12" s="351">
        <f>SUM(K13:K14)</f>
        <v>563</v>
      </c>
      <c r="L12" s="352">
        <f>K12/J12*100</f>
        <v>55.14201762977473</v>
      </c>
      <c r="M12" s="870">
        <f>SUM(M13:M14)</f>
        <v>972</v>
      </c>
      <c r="N12" s="871">
        <f>SUM(N13:N14)</f>
        <v>484</v>
      </c>
      <c r="O12" s="873">
        <f t="shared" si="2"/>
        <v>49.794238683127574</v>
      </c>
      <c r="P12" s="870">
        <f>SUM(P13:P14)</f>
        <v>1002</v>
      </c>
      <c r="Q12" s="871">
        <f>SUM(Q13:Q14)</f>
        <v>553</v>
      </c>
      <c r="R12" s="873">
        <f t="shared" si="3"/>
        <v>55.18962075848304</v>
      </c>
      <c r="S12" s="870">
        <f>SUM(S13:S14)</f>
        <v>945</v>
      </c>
      <c r="T12" s="871">
        <f>SUM(T13:T14)</f>
        <v>540</v>
      </c>
      <c r="U12" s="873">
        <f t="shared" si="4"/>
        <v>57.14285714285714</v>
      </c>
    </row>
    <row r="13" spans="1:21" ht="44.25" customHeight="1">
      <c r="A13" s="353" t="s">
        <v>97</v>
      </c>
      <c r="B13" s="354"/>
      <c r="C13" s="349" t="s">
        <v>39</v>
      </c>
      <c r="D13" s="355">
        <v>536</v>
      </c>
      <c r="E13" s="367">
        <v>257</v>
      </c>
      <c r="F13" s="352">
        <f t="shared" si="0"/>
        <v>47.94776119402985</v>
      </c>
      <c r="G13" s="355">
        <v>543</v>
      </c>
      <c r="H13" s="367">
        <v>274</v>
      </c>
      <c r="I13" s="352">
        <f t="shared" si="1"/>
        <v>50.46040515653776</v>
      </c>
      <c r="J13" s="355">
        <v>516</v>
      </c>
      <c r="K13" s="367">
        <v>241</v>
      </c>
      <c r="L13" s="352">
        <v>46.7</v>
      </c>
      <c r="M13" s="355">
        <v>491</v>
      </c>
      <c r="N13" s="367">
        <v>206</v>
      </c>
      <c r="O13" s="874">
        <f t="shared" si="2"/>
        <v>41.955193482688394</v>
      </c>
      <c r="P13" s="355">
        <v>530</v>
      </c>
      <c r="Q13" s="367">
        <v>265</v>
      </c>
      <c r="R13" s="874">
        <f t="shared" si="3"/>
        <v>50</v>
      </c>
      <c r="S13" s="355">
        <v>502</v>
      </c>
      <c r="T13" s="367">
        <v>249</v>
      </c>
      <c r="U13" s="874">
        <f t="shared" si="4"/>
        <v>49.60159362549801</v>
      </c>
    </row>
    <row r="14" spans="1:21" ht="44.25" customHeight="1" thickBot="1">
      <c r="A14" s="373" t="s">
        <v>97</v>
      </c>
      <c r="B14" s="374"/>
      <c r="C14" s="375" t="s">
        <v>40</v>
      </c>
      <c r="D14" s="376">
        <v>478</v>
      </c>
      <c r="E14" s="377">
        <v>279</v>
      </c>
      <c r="F14" s="378">
        <f t="shared" si="0"/>
        <v>58.36820083682008</v>
      </c>
      <c r="G14" s="376">
        <v>536</v>
      </c>
      <c r="H14" s="377">
        <v>329</v>
      </c>
      <c r="I14" s="378">
        <f t="shared" si="1"/>
        <v>61.38059701492538</v>
      </c>
      <c r="J14" s="376">
        <v>505</v>
      </c>
      <c r="K14" s="377">
        <v>322</v>
      </c>
      <c r="L14" s="378">
        <v>63.8</v>
      </c>
      <c r="M14" s="872">
        <v>481</v>
      </c>
      <c r="N14" s="377">
        <v>278</v>
      </c>
      <c r="O14" s="378">
        <f t="shared" si="2"/>
        <v>57.7962577962578</v>
      </c>
      <c r="P14" s="872">
        <v>472</v>
      </c>
      <c r="Q14" s="377">
        <v>288</v>
      </c>
      <c r="R14" s="378">
        <f t="shared" si="3"/>
        <v>61.016949152542374</v>
      </c>
      <c r="S14" s="872">
        <v>443</v>
      </c>
      <c r="T14" s="377">
        <v>291</v>
      </c>
      <c r="U14" s="378">
        <f t="shared" si="4"/>
        <v>65.68848758465012</v>
      </c>
    </row>
    <row r="15" ht="19.5" customHeight="1">
      <c r="A15" s="337" t="s">
        <v>129</v>
      </c>
    </row>
  </sheetData>
  <sheetProtection/>
  <mergeCells count="4">
    <mergeCell ref="A4:C5"/>
    <mergeCell ref="M4:O4"/>
    <mergeCell ref="P4:R4"/>
    <mergeCell ref="S4:U4"/>
  </mergeCells>
  <printOptions/>
  <pageMargins left="0.5" right="0.34" top="0.5" bottom="0.35" header="0.27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26.7109375" style="3" customWidth="1"/>
    <col min="2" max="2" width="10.8515625" style="1" customWidth="1"/>
    <col min="3" max="11" width="10.140625" style="3" customWidth="1"/>
    <col min="12" max="12" width="9.140625" style="98" customWidth="1"/>
    <col min="13" max="13" width="4.8515625" style="3" customWidth="1"/>
    <col min="14" max="16384" width="9.140625" style="3" customWidth="1"/>
  </cols>
  <sheetData>
    <row r="1" spans="1:12" ht="21" customHeight="1">
      <c r="A1" s="3" t="s">
        <v>404</v>
      </c>
      <c r="B1" s="3"/>
      <c r="C1" s="1"/>
      <c r="L1"/>
    </row>
    <row r="2" ht="15" customHeight="1"/>
    <row r="3" spans="1:11" ht="24.75" customHeight="1">
      <c r="A3" s="379"/>
      <c r="B3" s="29"/>
      <c r="C3" s="1474" t="s">
        <v>2</v>
      </c>
      <c r="D3" s="1475"/>
      <c r="E3" s="1476"/>
      <c r="F3" s="1474" t="s">
        <v>4</v>
      </c>
      <c r="G3" s="1475"/>
      <c r="H3" s="1476"/>
      <c r="I3" s="1475" t="s">
        <v>100</v>
      </c>
      <c r="J3" s="1475"/>
      <c r="K3" s="1476"/>
    </row>
    <row r="4" spans="1:11" ht="30.75" customHeight="1">
      <c r="A4" s="380"/>
      <c r="B4" s="381"/>
      <c r="C4" s="1084" t="s">
        <v>125</v>
      </c>
      <c r="D4" s="1083" t="s">
        <v>329</v>
      </c>
      <c r="E4" s="383" t="s">
        <v>330</v>
      </c>
      <c r="F4" s="384" t="s">
        <v>125</v>
      </c>
      <c r="G4" s="1083" t="s">
        <v>329</v>
      </c>
      <c r="H4" s="383" t="s">
        <v>330</v>
      </c>
      <c r="I4" s="384" t="s">
        <v>125</v>
      </c>
      <c r="J4" s="1083" t="s">
        <v>329</v>
      </c>
      <c r="K4" s="383" t="s">
        <v>330</v>
      </c>
    </row>
    <row r="5" spans="1:11" ht="21" customHeight="1">
      <c r="A5" s="385" t="s">
        <v>130</v>
      </c>
      <c r="B5" s="381"/>
      <c r="C5" s="382"/>
      <c r="D5" s="386"/>
      <c r="E5" s="387"/>
      <c r="F5" s="382"/>
      <c r="G5" s="386"/>
      <c r="H5" s="387"/>
      <c r="I5" s="382"/>
      <c r="J5" s="388"/>
      <c r="K5" s="387"/>
    </row>
    <row r="6" spans="1:11" ht="21.75" customHeight="1">
      <c r="A6" s="389" t="s">
        <v>131</v>
      </c>
      <c r="B6" s="390" t="s">
        <v>5</v>
      </c>
      <c r="C6" s="391">
        <f>SUM(C7:C8)</f>
        <v>17104</v>
      </c>
      <c r="D6" s="392">
        <f>SUM(D7:D8)</f>
        <v>13028</v>
      </c>
      <c r="E6" s="393">
        <f>D6/C6*100</f>
        <v>76.16931711880261</v>
      </c>
      <c r="F6" s="391">
        <f>SUM(F7:F8)</f>
        <v>698</v>
      </c>
      <c r="G6" s="392">
        <f>SUM(G7:G8)</f>
        <v>467</v>
      </c>
      <c r="H6" s="393">
        <f aca="true" t="shared" si="0" ref="H6:H24">G6/F6*100</f>
        <v>66.9054441260745</v>
      </c>
      <c r="I6" s="391">
        <f>SUM(I7:I8)</f>
        <v>17802</v>
      </c>
      <c r="J6" s="394">
        <f>SUM(J7:J8)</f>
        <v>13495</v>
      </c>
      <c r="K6" s="395">
        <f aca="true" t="shared" si="1" ref="K6:K24">J6/I6*100</f>
        <v>75.80608920346027</v>
      </c>
    </row>
    <row r="7" spans="1:11" ht="21.75" customHeight="1">
      <c r="A7" s="389" t="s">
        <v>97</v>
      </c>
      <c r="B7" s="390" t="s">
        <v>39</v>
      </c>
      <c r="C7" s="391">
        <v>8647</v>
      </c>
      <c r="D7" s="392">
        <v>6186</v>
      </c>
      <c r="E7" s="393">
        <f>D7/C7*100</f>
        <v>71.53926217185152</v>
      </c>
      <c r="F7" s="391">
        <v>356</v>
      </c>
      <c r="G7" s="392">
        <v>212</v>
      </c>
      <c r="H7" s="393">
        <f t="shared" si="0"/>
        <v>59.55056179775281</v>
      </c>
      <c r="I7" s="391">
        <f>SUM(C7,F7)</f>
        <v>9003</v>
      </c>
      <c r="J7" s="396">
        <f>SUM(D7,G7)</f>
        <v>6398</v>
      </c>
      <c r="K7" s="395">
        <f t="shared" si="1"/>
        <v>71.06520048872598</v>
      </c>
    </row>
    <row r="8" spans="1:11" ht="21.75" customHeight="1">
      <c r="A8" s="389" t="s">
        <v>97</v>
      </c>
      <c r="B8" s="390" t="s">
        <v>40</v>
      </c>
      <c r="C8" s="391">
        <v>8457</v>
      </c>
      <c r="D8" s="392">
        <v>6842</v>
      </c>
      <c r="E8" s="393">
        <f>D8/C8*100</f>
        <v>80.90339363840606</v>
      </c>
      <c r="F8" s="391">
        <v>342</v>
      </c>
      <c r="G8" s="392">
        <v>255</v>
      </c>
      <c r="H8" s="395">
        <f t="shared" si="0"/>
        <v>74.56140350877193</v>
      </c>
      <c r="I8" s="391">
        <f>SUM(C8,F8)</f>
        <v>8799</v>
      </c>
      <c r="J8" s="396">
        <f>SUM(D8,G8)</f>
        <v>7097</v>
      </c>
      <c r="K8" s="395">
        <f t="shared" si="1"/>
        <v>80.65689282873055</v>
      </c>
    </row>
    <row r="9" spans="1:11" ht="12" customHeight="1">
      <c r="A9" s="389"/>
      <c r="B9" s="390"/>
      <c r="C9" s="391"/>
      <c r="D9" s="392"/>
      <c r="E9" s="393"/>
      <c r="F9" s="391"/>
      <c r="G9" s="392"/>
      <c r="H9" s="393"/>
      <c r="I9" s="391"/>
      <c r="J9" s="394"/>
      <c r="K9" s="395"/>
    </row>
    <row r="10" spans="1:11" ht="21.75" customHeight="1">
      <c r="A10" s="397" t="s">
        <v>132</v>
      </c>
      <c r="B10" s="390" t="s">
        <v>5</v>
      </c>
      <c r="C10" s="391">
        <f>SUM(C11:C12)</f>
        <v>4571</v>
      </c>
      <c r="D10" s="392">
        <f>SUM(D11:D12)</f>
        <v>1843</v>
      </c>
      <c r="E10" s="393">
        <f aca="true" t="shared" si="2" ref="E10:E24">D10/C10*100</f>
        <v>40.319404944213524</v>
      </c>
      <c r="F10" s="391">
        <f>SUM(F11:F12)</f>
        <v>247</v>
      </c>
      <c r="G10" s="392">
        <f>SUM(G11:G12)</f>
        <v>73</v>
      </c>
      <c r="H10" s="393">
        <f t="shared" si="0"/>
        <v>29.554655870445345</v>
      </c>
      <c r="I10" s="391">
        <f>SUM(I11:I12)</f>
        <v>4818</v>
      </c>
      <c r="J10" s="394">
        <f>SUM(J11:J12)</f>
        <v>1916</v>
      </c>
      <c r="K10" s="395">
        <f t="shared" si="1"/>
        <v>39.76753839767538</v>
      </c>
    </row>
    <row r="11" spans="1:11" ht="21.75" customHeight="1">
      <c r="A11" s="1187" t="s">
        <v>419</v>
      </c>
      <c r="B11" s="390" t="s">
        <v>39</v>
      </c>
      <c r="C11" s="391">
        <v>2615</v>
      </c>
      <c r="D11" s="392">
        <v>893</v>
      </c>
      <c r="E11" s="393">
        <f t="shared" si="2"/>
        <v>34.1491395793499</v>
      </c>
      <c r="F11" s="391">
        <v>146</v>
      </c>
      <c r="G11" s="392">
        <v>37</v>
      </c>
      <c r="H11" s="393">
        <f t="shared" si="0"/>
        <v>25.34246575342466</v>
      </c>
      <c r="I11" s="391">
        <f>SUM(C11,F11)</f>
        <v>2761</v>
      </c>
      <c r="J11" s="396">
        <f>SUM(D11,G11)</f>
        <v>930</v>
      </c>
      <c r="K11" s="395">
        <f t="shared" si="1"/>
        <v>33.68344802607751</v>
      </c>
    </row>
    <row r="12" spans="1:11" ht="21.75" customHeight="1">
      <c r="A12" s="389"/>
      <c r="B12" s="390" t="s">
        <v>40</v>
      </c>
      <c r="C12" s="391">
        <v>1956</v>
      </c>
      <c r="D12" s="392">
        <v>950</v>
      </c>
      <c r="E12" s="393">
        <f t="shared" si="2"/>
        <v>48.56850715746421</v>
      </c>
      <c r="F12" s="391">
        <v>101</v>
      </c>
      <c r="G12" s="392">
        <v>36</v>
      </c>
      <c r="H12" s="395">
        <f t="shared" si="0"/>
        <v>35.64356435643564</v>
      </c>
      <c r="I12" s="391">
        <f>SUM(C12,F12)</f>
        <v>2057</v>
      </c>
      <c r="J12" s="396">
        <f>SUM(D12,G12)</f>
        <v>986</v>
      </c>
      <c r="K12" s="395">
        <f t="shared" si="1"/>
        <v>47.93388429752066</v>
      </c>
    </row>
    <row r="13" spans="1:11" ht="12" customHeight="1">
      <c r="A13" s="389"/>
      <c r="B13" s="390"/>
      <c r="C13" s="391"/>
      <c r="D13" s="392"/>
      <c r="E13" s="393"/>
      <c r="F13" s="391"/>
      <c r="G13" s="392"/>
      <c r="H13" s="393"/>
      <c r="I13" s="391"/>
      <c r="J13" s="396"/>
      <c r="K13" s="395"/>
    </row>
    <row r="14" spans="1:12" ht="21" customHeight="1">
      <c r="A14" s="399" t="s">
        <v>133</v>
      </c>
      <c r="B14" s="390" t="s">
        <v>5</v>
      </c>
      <c r="C14" s="391">
        <f>SUM(C15:C16)</f>
        <v>21675</v>
      </c>
      <c r="D14" s="392">
        <f>SUM(D15:D16)</f>
        <v>14871</v>
      </c>
      <c r="E14" s="393">
        <f t="shared" si="2"/>
        <v>68.60899653979239</v>
      </c>
      <c r="F14" s="391">
        <f>SUM(F15:F16)</f>
        <v>945</v>
      </c>
      <c r="G14" s="392">
        <f>SUM(G15:G16)</f>
        <v>540</v>
      </c>
      <c r="H14" s="393">
        <f t="shared" si="0"/>
        <v>57.14285714285714</v>
      </c>
      <c r="I14" s="391">
        <f>SUM(I15:I16)</f>
        <v>22620</v>
      </c>
      <c r="J14" s="396">
        <f>SUM(J15:J16)</f>
        <v>15411</v>
      </c>
      <c r="K14" s="395">
        <f t="shared" si="1"/>
        <v>68.12997347480106</v>
      </c>
      <c r="L14" s="400"/>
    </row>
    <row r="15" spans="1:11" ht="21.75" customHeight="1">
      <c r="A15" s="398"/>
      <c r="B15" s="390" t="s">
        <v>39</v>
      </c>
      <c r="C15" s="391">
        <v>11262</v>
      </c>
      <c r="D15" s="392">
        <v>7079</v>
      </c>
      <c r="E15" s="393">
        <f t="shared" si="2"/>
        <v>62.85739655478601</v>
      </c>
      <c r="F15" s="391">
        <v>502</v>
      </c>
      <c r="G15" s="392">
        <v>249</v>
      </c>
      <c r="H15" s="393">
        <f t="shared" si="0"/>
        <v>49.60159362549801</v>
      </c>
      <c r="I15" s="391">
        <f>SUM(C15,F15)</f>
        <v>11764</v>
      </c>
      <c r="J15" s="394">
        <f>SUM(D15,G15)</f>
        <v>7328</v>
      </c>
      <c r="K15" s="395">
        <f t="shared" si="1"/>
        <v>62.29173750425026</v>
      </c>
    </row>
    <row r="16" spans="1:11" ht="21.75" customHeight="1">
      <c r="A16" s="389"/>
      <c r="B16" s="390" t="s">
        <v>40</v>
      </c>
      <c r="C16" s="391">
        <v>10413</v>
      </c>
      <c r="D16" s="392">
        <v>7792</v>
      </c>
      <c r="E16" s="393">
        <f t="shared" si="2"/>
        <v>74.82953999807933</v>
      </c>
      <c r="F16" s="391">
        <v>443</v>
      </c>
      <c r="G16" s="392">
        <v>291</v>
      </c>
      <c r="H16" s="393">
        <f t="shared" si="0"/>
        <v>65.68848758465012</v>
      </c>
      <c r="I16" s="391">
        <f>SUM(C16,F16)</f>
        <v>10856</v>
      </c>
      <c r="J16" s="394">
        <f>SUM(D16,G16)</f>
        <v>8083</v>
      </c>
      <c r="K16" s="395">
        <f t="shared" si="1"/>
        <v>74.45652173913044</v>
      </c>
    </row>
    <row r="17" spans="1:11" ht="6.75" customHeight="1">
      <c r="A17" s="389"/>
      <c r="B17" s="390"/>
      <c r="C17" s="391"/>
      <c r="D17" s="392"/>
      <c r="E17" s="393"/>
      <c r="F17" s="391"/>
      <c r="G17" s="392"/>
      <c r="H17" s="393"/>
      <c r="I17" s="391"/>
      <c r="J17" s="396"/>
      <c r="K17" s="395"/>
    </row>
    <row r="18" spans="1:12" s="409" customFormat="1" ht="21.75" customHeight="1">
      <c r="A18" s="401" t="s">
        <v>134</v>
      </c>
      <c r="B18" s="402" t="s">
        <v>5</v>
      </c>
      <c r="C18" s="403">
        <f>SUM(C19:C20)</f>
        <v>2454</v>
      </c>
      <c r="D18" s="404">
        <f>SUM(D19:D20)</f>
        <v>679</v>
      </c>
      <c r="E18" s="405">
        <f t="shared" si="2"/>
        <v>27.669111654441732</v>
      </c>
      <c r="F18" s="403">
        <f>SUM(F19:F20)</f>
        <v>72</v>
      </c>
      <c r="G18" s="404">
        <f>SUM(G19:G20)</f>
        <v>19</v>
      </c>
      <c r="H18" s="405">
        <f t="shared" si="0"/>
        <v>26.38888888888889</v>
      </c>
      <c r="I18" s="403">
        <f>SUM(I19:I20)</f>
        <v>2526</v>
      </c>
      <c r="J18" s="406">
        <f>SUM(J19:J20)</f>
        <v>698</v>
      </c>
      <c r="K18" s="407">
        <f t="shared" si="1"/>
        <v>27.6326207442597</v>
      </c>
      <c r="L18" s="408"/>
    </row>
    <row r="19" spans="1:11" ht="21.75" customHeight="1">
      <c r="A19" s="389"/>
      <c r="B19" s="390" t="s">
        <v>39</v>
      </c>
      <c r="C19" s="391">
        <v>1471</v>
      </c>
      <c r="D19" s="392">
        <v>356</v>
      </c>
      <c r="E19" s="410">
        <f t="shared" si="2"/>
        <v>24.201223657375934</v>
      </c>
      <c r="F19" s="391">
        <v>47</v>
      </c>
      <c r="G19" s="392">
        <v>12</v>
      </c>
      <c r="H19" s="393">
        <f t="shared" si="0"/>
        <v>25.53191489361702</v>
      </c>
      <c r="I19" s="391">
        <f>SUM(C19,F19)</f>
        <v>1518</v>
      </c>
      <c r="J19" s="394">
        <f>SUM(D19,G19)</f>
        <v>368</v>
      </c>
      <c r="K19" s="395">
        <f t="shared" si="1"/>
        <v>24.242424242424242</v>
      </c>
    </row>
    <row r="20" spans="1:11" ht="21.75" customHeight="1">
      <c r="A20" s="389" t="s">
        <v>97</v>
      </c>
      <c r="B20" s="390" t="s">
        <v>40</v>
      </c>
      <c r="C20" s="391">
        <v>983</v>
      </c>
      <c r="D20" s="392">
        <v>323</v>
      </c>
      <c r="E20" s="410">
        <f t="shared" si="2"/>
        <v>32.858596134282806</v>
      </c>
      <c r="F20" s="391">
        <v>25</v>
      </c>
      <c r="G20" s="392">
        <v>7</v>
      </c>
      <c r="H20" s="395">
        <f t="shared" si="0"/>
        <v>28.000000000000004</v>
      </c>
      <c r="I20" s="391">
        <f>SUM(C20,F20)</f>
        <v>1008</v>
      </c>
      <c r="J20" s="394">
        <f>SUM(D20,G20)</f>
        <v>330</v>
      </c>
      <c r="K20" s="395">
        <f t="shared" si="1"/>
        <v>32.73809523809524</v>
      </c>
    </row>
    <row r="21" spans="1:11" ht="12" customHeight="1">
      <c r="A21" s="411"/>
      <c r="B21" s="412"/>
      <c r="C21" s="413"/>
      <c r="D21" s="414"/>
      <c r="E21" s="415"/>
      <c r="F21" s="413"/>
      <c r="G21" s="414"/>
      <c r="H21" s="415"/>
      <c r="I21" s="413"/>
      <c r="J21" s="416"/>
      <c r="K21" s="417"/>
    </row>
    <row r="22" spans="1:12" s="409" customFormat="1" ht="35.25" customHeight="1">
      <c r="A22" s="418" t="s">
        <v>135</v>
      </c>
      <c r="B22" s="390" t="s">
        <v>5</v>
      </c>
      <c r="C22" s="419">
        <f aca="true" t="shared" si="3" ref="C22:D24">SUM(C18,C14)</f>
        <v>24129</v>
      </c>
      <c r="D22" s="392">
        <f t="shared" si="3"/>
        <v>15550</v>
      </c>
      <c r="E22" s="395">
        <f t="shared" si="2"/>
        <v>64.44527332255791</v>
      </c>
      <c r="F22" s="419">
        <f aca="true" t="shared" si="4" ref="F22:G24">SUM(F14,F18)</f>
        <v>1017</v>
      </c>
      <c r="G22" s="392">
        <f t="shared" si="4"/>
        <v>559</v>
      </c>
      <c r="H22" s="393">
        <f t="shared" si="0"/>
        <v>54.965585054080634</v>
      </c>
      <c r="I22" s="419">
        <f>SUM(I23:I24)</f>
        <v>25146</v>
      </c>
      <c r="J22" s="392">
        <f>SUM(J23:J24)</f>
        <v>16109</v>
      </c>
      <c r="K22" s="395">
        <f t="shared" si="1"/>
        <v>64.06187862880776</v>
      </c>
      <c r="L22" s="408"/>
    </row>
    <row r="23" spans="1:11" ht="21.75" customHeight="1">
      <c r="A23" s="389" t="s">
        <v>97</v>
      </c>
      <c r="B23" s="390" t="s">
        <v>39</v>
      </c>
      <c r="C23" s="419">
        <f t="shared" si="3"/>
        <v>12733</v>
      </c>
      <c r="D23" s="392">
        <f t="shared" si="3"/>
        <v>7435</v>
      </c>
      <c r="E23" s="395">
        <f t="shared" si="2"/>
        <v>58.39158093143799</v>
      </c>
      <c r="F23" s="419">
        <f t="shared" si="4"/>
        <v>549</v>
      </c>
      <c r="G23" s="392">
        <f t="shared" si="4"/>
        <v>261</v>
      </c>
      <c r="H23" s="395">
        <f t="shared" si="0"/>
        <v>47.540983606557376</v>
      </c>
      <c r="I23" s="391">
        <f>SUM(C23,F23)</f>
        <v>13282</v>
      </c>
      <c r="J23" s="394">
        <f>SUM(D23,G23)</f>
        <v>7696</v>
      </c>
      <c r="K23" s="395">
        <f t="shared" si="1"/>
        <v>57.94308086131606</v>
      </c>
    </row>
    <row r="24" spans="1:11" ht="21.75" customHeight="1">
      <c r="A24" s="420" t="s">
        <v>97</v>
      </c>
      <c r="B24" s="421" t="s">
        <v>40</v>
      </c>
      <c r="C24" s="422">
        <f t="shared" si="3"/>
        <v>11396</v>
      </c>
      <c r="D24" s="423">
        <f t="shared" si="3"/>
        <v>8115</v>
      </c>
      <c r="E24" s="424">
        <f t="shared" si="2"/>
        <v>71.20919620919621</v>
      </c>
      <c r="F24" s="422">
        <f t="shared" si="4"/>
        <v>468</v>
      </c>
      <c r="G24" s="423">
        <f t="shared" si="4"/>
        <v>298</v>
      </c>
      <c r="H24" s="424">
        <f t="shared" si="0"/>
        <v>63.67521367521367</v>
      </c>
      <c r="I24" s="425">
        <f>SUM(C24,F24)</f>
        <v>11864</v>
      </c>
      <c r="J24" s="426">
        <f>SUM(D24,G24)</f>
        <v>8413</v>
      </c>
      <c r="K24" s="424">
        <f t="shared" si="1"/>
        <v>70.91200269723534</v>
      </c>
    </row>
    <row r="25" spans="1:11" ht="19.5" customHeight="1">
      <c r="A25" s="98" t="s">
        <v>129</v>
      </c>
      <c r="B25" s="98"/>
      <c r="C25" s="98"/>
      <c r="D25" s="396"/>
      <c r="E25" s="427"/>
      <c r="F25" s="396"/>
      <c r="G25" s="396"/>
      <c r="H25" s="427"/>
      <c r="I25" s="396"/>
      <c r="J25" s="396"/>
      <c r="K25" s="427"/>
    </row>
    <row r="26" spans="1:5" ht="12.75" customHeight="1">
      <c r="A26" s="98"/>
      <c r="E26" s="428"/>
    </row>
    <row r="27" ht="15">
      <c r="E27" s="429"/>
    </row>
    <row r="28" ht="15">
      <c r="E28" s="429"/>
    </row>
    <row r="29" ht="15">
      <c r="E29" s="429"/>
    </row>
    <row r="30" spans="1:5" ht="15">
      <c r="A30" s="430"/>
      <c r="E30" s="429"/>
    </row>
    <row r="31" spans="1:5" ht="15">
      <c r="A31" s="431"/>
      <c r="E31" s="429"/>
    </row>
    <row r="32" ht="15">
      <c r="E32" s="429"/>
    </row>
    <row r="33" ht="15">
      <c r="E33" s="429"/>
    </row>
    <row r="34" ht="15">
      <c r="E34" s="429"/>
    </row>
    <row r="35" ht="15">
      <c r="E35" s="429"/>
    </row>
  </sheetData>
  <sheetProtection/>
  <mergeCells count="3">
    <mergeCell ref="C3:E3"/>
    <mergeCell ref="F3:H3"/>
    <mergeCell ref="I3:K3"/>
  </mergeCells>
  <printOptions/>
  <pageMargins left="0.5" right="0.31" top="0.5" bottom="0.38" header="0.25" footer="0.19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36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26.7109375" style="434" customWidth="1"/>
    <col min="2" max="2" width="6.7109375" style="434" customWidth="1"/>
    <col min="3" max="3" width="8.57421875" style="434" customWidth="1"/>
    <col min="4" max="9" width="8.28125" style="434" customWidth="1"/>
    <col min="39" max="16384" width="9.140625" style="434" customWidth="1"/>
  </cols>
  <sheetData>
    <row r="1" spans="1:38" s="432" customFormat="1" ht="26.25" customHeight="1">
      <c r="A1" s="1102" t="s">
        <v>333</v>
      </c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</row>
    <row r="2" ht="17.25" customHeight="1"/>
    <row r="3" spans="1:38" s="440" customFormat="1" ht="16.5" customHeight="1">
      <c r="A3" s="435"/>
      <c r="B3" s="436"/>
      <c r="C3" s="1480" t="s">
        <v>139</v>
      </c>
      <c r="D3" s="437" t="s">
        <v>136</v>
      </c>
      <c r="E3" s="437"/>
      <c r="F3" s="437"/>
      <c r="G3" s="437"/>
      <c r="H3" s="437"/>
      <c r="I3" s="438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</row>
    <row r="4" spans="1:38" s="440" customFormat="1" ht="16.5" customHeight="1">
      <c r="A4" s="441" t="s">
        <v>15</v>
      </c>
      <c r="B4" s="442"/>
      <c r="C4" s="1481"/>
      <c r="D4" s="1483" t="s">
        <v>140</v>
      </c>
      <c r="E4" s="1484"/>
      <c r="F4" s="443" t="s">
        <v>137</v>
      </c>
      <c r="G4" s="443"/>
      <c r="H4" s="443"/>
      <c r="I4" s="444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</row>
    <row r="5" spans="1:38" s="440" customFormat="1" ht="16.5" customHeight="1">
      <c r="A5" s="445"/>
      <c r="B5" s="446"/>
      <c r="C5" s="1481"/>
      <c r="D5" s="1485"/>
      <c r="E5" s="1486"/>
      <c r="F5" s="443" t="s">
        <v>141</v>
      </c>
      <c r="G5" s="444"/>
      <c r="H5" s="447" t="s">
        <v>53</v>
      </c>
      <c r="I5" s="444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</row>
    <row r="6" spans="1:38" s="440" customFormat="1" ht="19.5" customHeight="1">
      <c r="A6" s="448"/>
      <c r="B6" s="449"/>
      <c r="C6" s="1482"/>
      <c r="D6" s="450" t="s">
        <v>54</v>
      </c>
      <c r="E6" s="451" t="s">
        <v>7</v>
      </c>
      <c r="F6" s="450" t="s">
        <v>54</v>
      </c>
      <c r="G6" s="452" t="s">
        <v>7</v>
      </c>
      <c r="H6" s="453" t="s">
        <v>54</v>
      </c>
      <c r="I6" s="454" t="s">
        <v>7</v>
      </c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</row>
    <row r="7" spans="1:38" s="440" customFormat="1" ht="24.75" customHeight="1">
      <c r="A7" s="455" t="s">
        <v>55</v>
      </c>
      <c r="B7" s="446"/>
      <c r="C7" s="456">
        <v>28</v>
      </c>
      <c r="D7" s="457">
        <v>8</v>
      </c>
      <c r="E7" s="458">
        <f>(D7/C7)*100</f>
        <v>28.57142857142857</v>
      </c>
      <c r="F7" s="457">
        <v>16</v>
      </c>
      <c r="G7" s="458">
        <f aca="true" t="shared" si="0" ref="G7:G16">(F7/C7)*100</f>
        <v>57.14285714285714</v>
      </c>
      <c r="H7" s="459">
        <v>4</v>
      </c>
      <c r="I7" s="460">
        <f>H7/C7*100</f>
        <v>14.285714285714285</v>
      </c>
      <c r="J7" s="439"/>
      <c r="K7" s="461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</row>
    <row r="8" spans="1:38" s="440" customFormat="1" ht="24.75" customHeight="1">
      <c r="A8" s="455" t="s">
        <v>56</v>
      </c>
      <c r="B8" s="446"/>
      <c r="C8" s="456">
        <v>16</v>
      </c>
      <c r="D8" s="457">
        <v>8</v>
      </c>
      <c r="E8" s="458">
        <f aca="true" t="shared" si="1" ref="E8:E18">(D8/C8)*100</f>
        <v>50</v>
      </c>
      <c r="F8" s="457">
        <v>7</v>
      </c>
      <c r="G8" s="458">
        <f t="shared" si="0"/>
        <v>43.75</v>
      </c>
      <c r="H8" s="459">
        <v>1</v>
      </c>
      <c r="I8" s="460">
        <f>H8/C8*100</f>
        <v>6.25</v>
      </c>
      <c r="J8" s="439"/>
      <c r="K8" s="461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</row>
    <row r="9" spans="1:38" s="440" customFormat="1" ht="24.75" customHeight="1">
      <c r="A9" s="455" t="s">
        <v>58</v>
      </c>
      <c r="B9" s="446"/>
      <c r="C9" s="456">
        <v>13</v>
      </c>
      <c r="D9" s="457">
        <v>6</v>
      </c>
      <c r="E9" s="458">
        <f t="shared" si="1"/>
        <v>46.15384615384615</v>
      </c>
      <c r="F9" s="457">
        <v>5</v>
      </c>
      <c r="G9" s="458">
        <v>39</v>
      </c>
      <c r="H9" s="459">
        <v>2</v>
      </c>
      <c r="I9" s="460">
        <f>H9/C9*100</f>
        <v>15.384615384615385</v>
      </c>
      <c r="J9" s="439"/>
      <c r="K9" s="461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</row>
    <row r="10" spans="1:38" s="440" customFormat="1" ht="24.75" customHeight="1">
      <c r="A10" s="455" t="s">
        <v>59</v>
      </c>
      <c r="B10" s="446"/>
      <c r="C10" s="456">
        <v>15</v>
      </c>
      <c r="D10" s="457">
        <v>8</v>
      </c>
      <c r="E10" s="458">
        <f t="shared" si="1"/>
        <v>53.333333333333336</v>
      </c>
      <c r="F10" s="457">
        <v>7</v>
      </c>
      <c r="G10" s="458">
        <f t="shared" si="0"/>
        <v>46.666666666666664</v>
      </c>
      <c r="H10" s="462">
        <v>0</v>
      </c>
      <c r="I10" s="463">
        <v>0</v>
      </c>
      <c r="J10" s="439"/>
      <c r="K10" s="461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39"/>
    </row>
    <row r="11" spans="1:38" s="440" customFormat="1" ht="24.75" customHeight="1">
      <c r="A11" s="455" t="s">
        <v>60</v>
      </c>
      <c r="B11" s="446"/>
      <c r="C11" s="456">
        <v>11</v>
      </c>
      <c r="D11" s="457">
        <v>4</v>
      </c>
      <c r="E11" s="458">
        <f t="shared" si="1"/>
        <v>36.36363636363637</v>
      </c>
      <c r="F11" s="457">
        <v>7</v>
      </c>
      <c r="G11" s="458">
        <f t="shared" si="0"/>
        <v>63.63636363636363</v>
      </c>
      <c r="H11" s="462">
        <v>0</v>
      </c>
      <c r="I11" s="463">
        <v>0</v>
      </c>
      <c r="J11" s="439"/>
      <c r="K11" s="461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439"/>
    </row>
    <row r="12" spans="1:38" s="440" customFormat="1" ht="24.75" customHeight="1">
      <c r="A12" s="455" t="s">
        <v>61</v>
      </c>
      <c r="B12" s="446"/>
      <c r="C12" s="456">
        <v>7</v>
      </c>
      <c r="D12" s="457">
        <v>4</v>
      </c>
      <c r="E12" s="458">
        <f t="shared" si="1"/>
        <v>57.14285714285714</v>
      </c>
      <c r="F12" s="457">
        <v>3</v>
      </c>
      <c r="G12" s="458">
        <f t="shared" si="0"/>
        <v>42.857142857142854</v>
      </c>
      <c r="H12" s="462">
        <v>0</v>
      </c>
      <c r="I12" s="463">
        <v>0</v>
      </c>
      <c r="J12" s="439"/>
      <c r="K12" s="461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</row>
    <row r="13" spans="1:38" s="440" customFormat="1" ht="24.75" customHeight="1">
      <c r="A13" s="455" t="s">
        <v>62</v>
      </c>
      <c r="B13" s="446"/>
      <c r="C13" s="456">
        <v>70</v>
      </c>
      <c r="D13" s="457">
        <v>23</v>
      </c>
      <c r="E13" s="458">
        <f t="shared" si="1"/>
        <v>32.857142857142854</v>
      </c>
      <c r="F13" s="457">
        <v>36</v>
      </c>
      <c r="G13" s="458">
        <f t="shared" si="0"/>
        <v>51.42857142857142</v>
      </c>
      <c r="H13" s="459">
        <v>11</v>
      </c>
      <c r="I13" s="460">
        <f>H13/C13*100</f>
        <v>15.714285714285714</v>
      </c>
      <c r="J13" s="439"/>
      <c r="K13" s="461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39"/>
    </row>
    <row r="14" spans="1:38" s="440" customFormat="1" ht="24.75" customHeight="1">
      <c r="A14" s="455" t="s">
        <v>63</v>
      </c>
      <c r="B14" s="446"/>
      <c r="C14" s="456">
        <v>12</v>
      </c>
      <c r="D14" s="457">
        <v>5</v>
      </c>
      <c r="E14" s="458">
        <f t="shared" si="1"/>
        <v>41.66666666666667</v>
      </c>
      <c r="F14" s="457">
        <v>4</v>
      </c>
      <c r="G14" s="458">
        <f t="shared" si="0"/>
        <v>33.33333333333333</v>
      </c>
      <c r="H14" s="459">
        <v>3</v>
      </c>
      <c r="I14" s="460">
        <f>H14/C14*100</f>
        <v>25</v>
      </c>
      <c r="J14" s="439"/>
      <c r="K14" s="461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</row>
    <row r="15" spans="1:38" s="440" customFormat="1" ht="24.75" customHeight="1">
      <c r="A15" s="455" t="s">
        <v>64</v>
      </c>
      <c r="B15" s="446"/>
      <c r="C15" s="464">
        <v>5</v>
      </c>
      <c r="D15" s="457">
        <v>3</v>
      </c>
      <c r="E15" s="465">
        <f t="shared" si="1"/>
        <v>60</v>
      </c>
      <c r="F15" s="457">
        <v>2</v>
      </c>
      <c r="G15" s="465">
        <f t="shared" si="0"/>
        <v>40</v>
      </c>
      <c r="H15" s="462">
        <v>0</v>
      </c>
      <c r="I15" s="466">
        <v>0</v>
      </c>
      <c r="J15" s="439"/>
      <c r="K15" s="461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</row>
    <row r="16" spans="1:38" s="440" customFormat="1" ht="24.75" customHeight="1">
      <c r="A16" s="435" t="s">
        <v>65</v>
      </c>
      <c r="B16" s="436"/>
      <c r="C16" s="456">
        <f>SUM(C7:C15)</f>
        <v>177</v>
      </c>
      <c r="D16" s="467">
        <f>SUM(D7:D15)</f>
        <v>69</v>
      </c>
      <c r="E16" s="468">
        <f t="shared" si="1"/>
        <v>38.983050847457626</v>
      </c>
      <c r="F16" s="469">
        <f>SUM(F7:F15)</f>
        <v>87</v>
      </c>
      <c r="G16" s="468">
        <f t="shared" si="0"/>
        <v>49.152542372881356</v>
      </c>
      <c r="H16" s="470">
        <f>SUM(H7:H15)</f>
        <v>21</v>
      </c>
      <c r="I16" s="468">
        <f>H16/C16*100</f>
        <v>11.864406779661017</v>
      </c>
      <c r="J16" s="439"/>
      <c r="K16" s="461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</row>
    <row r="17" spans="1:38" s="440" customFormat="1" ht="24.75" customHeight="1">
      <c r="A17" s="455" t="s">
        <v>66</v>
      </c>
      <c r="B17" s="446"/>
      <c r="C17" s="464">
        <v>5</v>
      </c>
      <c r="D17" s="1063">
        <v>0</v>
      </c>
      <c r="E17" s="1062">
        <v>0</v>
      </c>
      <c r="F17" s="472">
        <v>5</v>
      </c>
      <c r="G17" s="868">
        <v>100</v>
      </c>
      <c r="H17" s="473">
        <v>0</v>
      </c>
      <c r="I17" s="474">
        <v>0</v>
      </c>
      <c r="J17" s="439"/>
      <c r="K17" s="461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</row>
    <row r="18" spans="1:38" s="440" customFormat="1" ht="24.75" customHeight="1">
      <c r="A18" s="475" t="s">
        <v>67</v>
      </c>
      <c r="B18" s="476"/>
      <c r="C18" s="477">
        <f>D18+F18+H18</f>
        <v>182</v>
      </c>
      <c r="D18" s="478">
        <f>SUM(D16+D17)</f>
        <v>69</v>
      </c>
      <c r="E18" s="465">
        <f t="shared" si="1"/>
        <v>37.91208791208791</v>
      </c>
      <c r="F18" s="478">
        <f>SUM(F16+F17)</f>
        <v>92</v>
      </c>
      <c r="G18" s="465">
        <v>50</v>
      </c>
      <c r="H18" s="479">
        <f>SUM(H16:H17)</f>
        <v>21</v>
      </c>
      <c r="I18" s="465">
        <f>H18/C18*100</f>
        <v>11.538461538461538</v>
      </c>
      <c r="J18" s="439"/>
      <c r="K18" s="461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</row>
    <row r="19" spans="10:38" s="440" customFormat="1" ht="18.75" customHeight="1"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</row>
    <row r="20" spans="1:38" s="432" customFormat="1" ht="15" customHeight="1">
      <c r="A20" s="1102" t="s">
        <v>334</v>
      </c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</row>
    <row r="21" spans="10:38" s="440" customFormat="1" ht="13.5" customHeight="1"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39"/>
      <c r="AE21" s="439"/>
      <c r="AF21" s="439"/>
      <c r="AG21" s="439"/>
      <c r="AH21" s="439"/>
      <c r="AI21" s="439"/>
      <c r="AJ21" s="439"/>
      <c r="AK21" s="439"/>
      <c r="AL21" s="439"/>
    </row>
    <row r="22" spans="1:38" s="440" customFormat="1" ht="18.75" customHeight="1">
      <c r="A22" s="435"/>
      <c r="B22" s="436"/>
      <c r="C22" s="1480" t="s">
        <v>139</v>
      </c>
      <c r="D22" s="437" t="s">
        <v>136</v>
      </c>
      <c r="E22" s="437"/>
      <c r="F22" s="437"/>
      <c r="G22" s="437"/>
      <c r="H22" s="437"/>
      <c r="I22" s="438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39"/>
      <c r="AL22" s="439"/>
    </row>
    <row r="23" spans="1:38" s="440" customFormat="1" ht="18.75" customHeight="1">
      <c r="A23" s="441" t="s">
        <v>31</v>
      </c>
      <c r="B23" s="442"/>
      <c r="C23" s="1481"/>
      <c r="D23" s="1483" t="s">
        <v>140</v>
      </c>
      <c r="E23" s="1484"/>
      <c r="F23" s="443" t="s">
        <v>137</v>
      </c>
      <c r="G23" s="443"/>
      <c r="H23" s="443"/>
      <c r="I23" s="444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39"/>
      <c r="AL23" s="439"/>
    </row>
    <row r="24" spans="1:38" s="440" customFormat="1" ht="18.75" customHeight="1">
      <c r="A24" s="445"/>
      <c r="B24" s="446"/>
      <c r="C24" s="1481"/>
      <c r="D24" s="1485"/>
      <c r="E24" s="1486"/>
      <c r="F24" s="443" t="s">
        <v>141</v>
      </c>
      <c r="G24" s="444"/>
      <c r="H24" s="447" t="s">
        <v>53</v>
      </c>
      <c r="I24" s="444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439"/>
      <c r="AK24" s="439"/>
      <c r="AL24" s="439"/>
    </row>
    <row r="25" spans="1:38" s="440" customFormat="1" ht="18.75" customHeight="1">
      <c r="A25" s="448"/>
      <c r="B25" s="449"/>
      <c r="C25" s="1482"/>
      <c r="D25" s="450" t="s">
        <v>54</v>
      </c>
      <c r="E25" s="451" t="s">
        <v>7</v>
      </c>
      <c r="F25" s="450" t="s">
        <v>54</v>
      </c>
      <c r="G25" s="452" t="s">
        <v>7</v>
      </c>
      <c r="H25" s="480" t="s">
        <v>54</v>
      </c>
      <c r="I25" s="454" t="s">
        <v>7</v>
      </c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</row>
    <row r="26" spans="1:38" s="440" customFormat="1" ht="28.5" customHeight="1">
      <c r="A26" s="455" t="s">
        <v>32</v>
      </c>
      <c r="B26" s="446"/>
      <c r="C26" s="456">
        <v>58</v>
      </c>
      <c r="D26" s="457">
        <v>23</v>
      </c>
      <c r="E26" s="481">
        <f aca="true" t="shared" si="2" ref="E26:E31">(D26/C26)*100</f>
        <v>39.6551724137931</v>
      </c>
      <c r="F26" s="457">
        <v>28</v>
      </c>
      <c r="G26" s="481">
        <f>(F26/C26)*100</f>
        <v>48.275862068965516</v>
      </c>
      <c r="H26" s="482">
        <v>7</v>
      </c>
      <c r="I26" s="481">
        <f aca="true" t="shared" si="3" ref="I26:I31">(H26/C26)*100</f>
        <v>12.068965517241379</v>
      </c>
      <c r="J26" s="439"/>
      <c r="K26" s="483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</row>
    <row r="27" spans="1:38" s="440" customFormat="1" ht="28.5" customHeight="1">
      <c r="A27" s="1478" t="s">
        <v>33</v>
      </c>
      <c r="B27" s="1479"/>
      <c r="C27" s="456">
        <v>46</v>
      </c>
      <c r="D27" s="457">
        <v>19</v>
      </c>
      <c r="E27" s="481">
        <f t="shared" si="2"/>
        <v>41.30434782608695</v>
      </c>
      <c r="F27" s="457">
        <v>22</v>
      </c>
      <c r="G27" s="481">
        <f>(F27/C27)*100</f>
        <v>47.82608695652174</v>
      </c>
      <c r="H27" s="482">
        <v>5</v>
      </c>
      <c r="I27" s="481">
        <f t="shared" si="3"/>
        <v>10.869565217391305</v>
      </c>
      <c r="J27" s="439"/>
      <c r="K27" s="483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</row>
    <row r="28" spans="1:38" s="440" customFormat="1" ht="28.5" customHeight="1">
      <c r="A28" s="455" t="s">
        <v>34</v>
      </c>
      <c r="B28" s="446"/>
      <c r="C28" s="456">
        <v>41</v>
      </c>
      <c r="D28" s="457">
        <v>12</v>
      </c>
      <c r="E28" s="481">
        <f t="shared" si="2"/>
        <v>29.268292682926827</v>
      </c>
      <c r="F28" s="457">
        <v>22</v>
      </c>
      <c r="G28" s="481">
        <f>(F28/C28)*100</f>
        <v>53.65853658536586</v>
      </c>
      <c r="H28" s="484">
        <v>7</v>
      </c>
      <c r="I28" s="481">
        <f t="shared" si="3"/>
        <v>17.073170731707318</v>
      </c>
      <c r="J28" s="439"/>
      <c r="K28" s="483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</row>
    <row r="29" spans="1:38" s="440" customFormat="1" ht="27.75" customHeight="1">
      <c r="A29" s="455" t="s">
        <v>47</v>
      </c>
      <c r="B29" s="485"/>
      <c r="C29" s="456">
        <v>32</v>
      </c>
      <c r="D29" s="457">
        <v>15</v>
      </c>
      <c r="E29" s="481">
        <f t="shared" si="2"/>
        <v>46.875</v>
      </c>
      <c r="F29" s="457">
        <v>15</v>
      </c>
      <c r="G29" s="481">
        <f>(F29/C29)*100</f>
        <v>46.875</v>
      </c>
      <c r="H29" s="484">
        <v>2</v>
      </c>
      <c r="I29" s="481">
        <f t="shared" si="3"/>
        <v>6.25</v>
      </c>
      <c r="J29" s="439"/>
      <c r="K29" s="483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</row>
    <row r="30" spans="1:38" s="440" customFormat="1" ht="29.25" customHeight="1">
      <c r="A30" s="389" t="s">
        <v>466</v>
      </c>
      <c r="B30" s="446"/>
      <c r="C30" s="464">
        <v>5</v>
      </c>
      <c r="D30" s="486">
        <v>0</v>
      </c>
      <c r="E30" s="487">
        <v>0</v>
      </c>
      <c r="F30" s="478">
        <v>5</v>
      </c>
      <c r="G30" s="488">
        <f>(F30/C30)*100</f>
        <v>100</v>
      </c>
      <c r="H30" s="486">
        <v>0</v>
      </c>
      <c r="I30" s="487">
        <v>0</v>
      </c>
      <c r="J30" s="439"/>
      <c r="K30" s="483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39"/>
      <c r="AK30" s="439"/>
      <c r="AL30" s="439"/>
    </row>
    <row r="31" spans="1:38" s="440" customFormat="1" ht="36" customHeight="1">
      <c r="A31" s="475" t="s">
        <v>48</v>
      </c>
      <c r="B31" s="476"/>
      <c r="C31" s="464">
        <f>D31+F31+H31</f>
        <v>182</v>
      </c>
      <c r="D31" s="472">
        <f>SUM(D26:D30)</f>
        <v>69</v>
      </c>
      <c r="E31" s="489">
        <f t="shared" si="2"/>
        <v>37.91208791208791</v>
      </c>
      <c r="F31" s="478">
        <f>SUM(F26:F30)</f>
        <v>92</v>
      </c>
      <c r="G31" s="488">
        <v>50</v>
      </c>
      <c r="H31" s="490">
        <f>SUM(H26:H30)</f>
        <v>21</v>
      </c>
      <c r="I31" s="488">
        <f t="shared" si="3"/>
        <v>11.538461538461538</v>
      </c>
      <c r="J31" s="439"/>
      <c r="K31" s="483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</row>
    <row r="32" ht="17.25" customHeight="1">
      <c r="A32" s="491"/>
    </row>
    <row r="33" s="1261" customFormat="1" ht="14.25" customHeight="1">
      <c r="A33" s="1261" t="s">
        <v>453</v>
      </c>
    </row>
    <row r="34" s="492" customFormat="1" ht="15" customHeight="1">
      <c r="A34" s="492" t="s">
        <v>318</v>
      </c>
    </row>
    <row r="35" spans="1:9" s="492" customFormat="1" ht="18.75" customHeight="1">
      <c r="A35" s="1477" t="s">
        <v>142</v>
      </c>
      <c r="B35" s="1477"/>
      <c r="C35" s="1477"/>
      <c r="D35" s="1477"/>
      <c r="E35" s="1477"/>
      <c r="F35" s="1477"/>
      <c r="G35" s="1477"/>
      <c r="H35" s="1477"/>
      <c r="I35" s="1477"/>
    </row>
    <row r="36" spans="1:9" s="492" customFormat="1" ht="18" customHeight="1">
      <c r="A36" s="434" t="s">
        <v>138</v>
      </c>
      <c r="B36" s="434"/>
      <c r="C36" s="493"/>
      <c r="D36" s="493"/>
      <c r="E36" s="493"/>
      <c r="F36" s="493"/>
      <c r="G36" s="493"/>
      <c r="H36" s="493"/>
      <c r="I36" s="493"/>
    </row>
  </sheetData>
  <sheetProtection/>
  <mergeCells count="6">
    <mergeCell ref="A35:I35"/>
    <mergeCell ref="A27:B27"/>
    <mergeCell ref="C3:C6"/>
    <mergeCell ref="C22:C25"/>
    <mergeCell ref="D4:E5"/>
    <mergeCell ref="D23:E24"/>
  </mergeCells>
  <printOptions horizontalCentered="1"/>
  <pageMargins left="0.53" right="0.27" top="0.52" bottom="0.25" header="0.28" footer="0.25"/>
  <pageSetup horizontalDpi="300" verticalDpi="300" orientation="portrait" paperSize="9" r:id="rId1"/>
  <headerFooter alignWithMargins="0">
    <oddHeader>&amp;C&amp;"Times New Roman,Regular"&amp;11- 19 -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N33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1.00390625" style="434" customWidth="1"/>
    <col min="2" max="2" width="9.00390625" style="495" customWidth="1"/>
    <col min="3" max="3" width="8.28125" style="495" customWidth="1"/>
    <col min="4" max="4" width="8.140625" style="495" customWidth="1"/>
    <col min="5" max="6" width="8.28125" style="495" customWidth="1"/>
    <col min="7" max="8" width="8.140625" style="495" customWidth="1"/>
    <col min="9" max="9" width="8.57421875" style="495" customWidth="1"/>
    <col min="10" max="10" width="8.140625" style="434" customWidth="1"/>
    <col min="11" max="11" width="7.28125" style="0" customWidth="1"/>
    <col min="12" max="12" width="7.421875" style="0" customWidth="1"/>
    <col min="13" max="13" width="7.28125" style="0" customWidth="1"/>
    <col min="14" max="14" width="9.00390625" style="98" customWidth="1"/>
    <col min="171" max="16384" width="9.140625" style="434" customWidth="1"/>
  </cols>
  <sheetData>
    <row r="1" spans="1:170" s="432" customFormat="1" ht="21" customHeight="1">
      <c r="A1" s="1102" t="s">
        <v>335</v>
      </c>
      <c r="B1" s="494"/>
      <c r="C1" s="494"/>
      <c r="D1" s="494"/>
      <c r="E1" s="494"/>
      <c r="F1" s="494"/>
      <c r="G1" s="494"/>
      <c r="H1" s="494"/>
      <c r="I1" s="494"/>
      <c r="K1" s="433"/>
      <c r="L1" s="433"/>
      <c r="M1" s="433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</row>
    <row r="2" ht="7.5" customHeight="1"/>
    <row r="3" spans="1:170" s="440" customFormat="1" ht="14.25" customHeight="1">
      <c r="A3" s="1329" t="s">
        <v>15</v>
      </c>
      <c r="B3" s="1490" t="s">
        <v>74</v>
      </c>
      <c r="C3" s="1491"/>
      <c r="D3" s="1492"/>
      <c r="E3" s="1490" t="s">
        <v>143</v>
      </c>
      <c r="F3" s="1491"/>
      <c r="G3" s="1492"/>
      <c r="H3" s="1487" t="s">
        <v>76</v>
      </c>
      <c r="I3" s="1488"/>
      <c r="J3" s="1488"/>
      <c r="K3" s="1488"/>
      <c r="L3" s="1488"/>
      <c r="M3" s="1489"/>
      <c r="N3" s="10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</row>
    <row r="4" spans="1:170" s="440" customFormat="1" ht="15.75" customHeight="1">
      <c r="A4" s="1332"/>
      <c r="B4" s="1493"/>
      <c r="C4" s="1494"/>
      <c r="D4" s="1495"/>
      <c r="E4" s="1493"/>
      <c r="F4" s="1494"/>
      <c r="G4" s="1495"/>
      <c r="H4" s="1487" t="s">
        <v>144</v>
      </c>
      <c r="I4" s="1488"/>
      <c r="J4" s="1489"/>
      <c r="K4" s="1487" t="s">
        <v>77</v>
      </c>
      <c r="L4" s="1488"/>
      <c r="M4" s="1489"/>
      <c r="N4" s="10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</row>
    <row r="5" spans="1:170" s="440" customFormat="1" ht="14.25" customHeight="1">
      <c r="A5" s="1335"/>
      <c r="B5" s="496" t="s">
        <v>5</v>
      </c>
      <c r="C5" s="498" t="s">
        <v>39</v>
      </c>
      <c r="D5" s="499" t="s">
        <v>40</v>
      </c>
      <c r="E5" s="496" t="s">
        <v>5</v>
      </c>
      <c r="F5" s="498" t="s">
        <v>39</v>
      </c>
      <c r="G5" s="497" t="s">
        <v>40</v>
      </c>
      <c r="H5" s="496" t="s">
        <v>5</v>
      </c>
      <c r="I5" s="498" t="s">
        <v>39</v>
      </c>
      <c r="J5" s="497" t="s">
        <v>40</v>
      </c>
      <c r="K5" s="496" t="s">
        <v>5</v>
      </c>
      <c r="L5" s="498" t="s">
        <v>39</v>
      </c>
      <c r="M5" s="497" t="s">
        <v>40</v>
      </c>
      <c r="N5" s="10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</row>
    <row r="6" spans="1:170" s="440" customFormat="1" ht="20.25" customHeight="1">
      <c r="A6" s="455" t="s">
        <v>55</v>
      </c>
      <c r="B6" s="500">
        <f>SUM(C6,D6)</f>
        <v>15039</v>
      </c>
      <c r="C6" s="501">
        <f>SUM(F6,I6,L6)</f>
        <v>6976</v>
      </c>
      <c r="D6" s="502">
        <f>SUM(G6,J6,M6)</f>
        <v>8063</v>
      </c>
      <c r="E6" s="500">
        <f>F6+G6</f>
        <v>5240</v>
      </c>
      <c r="F6" s="503">
        <v>2486</v>
      </c>
      <c r="G6" s="502">
        <v>2754</v>
      </c>
      <c r="H6" s="500">
        <f>I6+J6</f>
        <v>8580</v>
      </c>
      <c r="I6" s="503">
        <f>173+3556</f>
        <v>3729</v>
      </c>
      <c r="J6" s="504">
        <f>3807+1044</f>
        <v>4851</v>
      </c>
      <c r="K6" s="500">
        <f>L6+M6</f>
        <v>1219</v>
      </c>
      <c r="L6" s="503">
        <v>761</v>
      </c>
      <c r="M6" s="504">
        <v>458</v>
      </c>
      <c r="N6" s="101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</row>
    <row r="7" spans="1:170" s="440" customFormat="1" ht="20.25" customHeight="1">
      <c r="A7" s="455" t="s">
        <v>56</v>
      </c>
      <c r="B7" s="500">
        <f aca="true" t="shared" si="0" ref="B7:B14">SUM(C7,D7)</f>
        <v>9074</v>
      </c>
      <c r="C7" s="503">
        <f aca="true" t="shared" si="1" ref="C7:C14">SUM(F7,I7,L7)</f>
        <v>4131</v>
      </c>
      <c r="D7" s="502">
        <f aca="true" t="shared" si="2" ref="D7:D14">SUM(G7,J7,M7)</f>
        <v>4943</v>
      </c>
      <c r="E7" s="500">
        <f aca="true" t="shared" si="3" ref="E7:E17">F7+G7</f>
        <v>5462</v>
      </c>
      <c r="F7" s="503">
        <v>2524</v>
      </c>
      <c r="G7" s="502">
        <v>2938</v>
      </c>
      <c r="H7" s="500">
        <f aca="true" t="shared" si="4" ref="H7:H17">I7+J7</f>
        <v>3606</v>
      </c>
      <c r="I7" s="503">
        <v>1605</v>
      </c>
      <c r="J7" s="504">
        <v>2001</v>
      </c>
      <c r="K7" s="505" t="s">
        <v>36</v>
      </c>
      <c r="L7" s="506">
        <v>2</v>
      </c>
      <c r="M7" s="507">
        <v>4</v>
      </c>
      <c r="N7" s="101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</row>
    <row r="8" spans="1:170" s="440" customFormat="1" ht="20.25" customHeight="1">
      <c r="A8" s="455" t="s">
        <v>58</v>
      </c>
      <c r="B8" s="500">
        <f t="shared" si="0"/>
        <v>9927</v>
      </c>
      <c r="C8" s="503">
        <f t="shared" si="1"/>
        <v>4992</v>
      </c>
      <c r="D8" s="502">
        <f t="shared" si="2"/>
        <v>4935</v>
      </c>
      <c r="E8" s="500">
        <f t="shared" si="3"/>
        <v>4969</v>
      </c>
      <c r="F8" s="503">
        <v>3003</v>
      </c>
      <c r="G8" s="502">
        <v>1966</v>
      </c>
      <c r="H8" s="500">
        <f t="shared" si="4"/>
        <v>4379</v>
      </c>
      <c r="I8" s="503">
        <v>1710</v>
      </c>
      <c r="J8" s="504">
        <v>2669</v>
      </c>
      <c r="K8" s="500">
        <f aca="true" t="shared" si="5" ref="K8:K13">SUM(L8,M8)</f>
        <v>579</v>
      </c>
      <c r="L8" s="503">
        <v>279</v>
      </c>
      <c r="M8" s="504">
        <v>300</v>
      </c>
      <c r="N8" s="10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</row>
    <row r="9" spans="1:170" s="440" customFormat="1" ht="20.25" customHeight="1">
      <c r="A9" s="455" t="s">
        <v>59</v>
      </c>
      <c r="B9" s="500">
        <f t="shared" si="0"/>
        <v>12739</v>
      </c>
      <c r="C9" s="503">
        <f t="shared" si="1"/>
        <v>5978</v>
      </c>
      <c r="D9" s="502">
        <f t="shared" si="2"/>
        <v>6761</v>
      </c>
      <c r="E9" s="500">
        <f t="shared" si="3"/>
        <v>6167</v>
      </c>
      <c r="F9" s="503">
        <v>2380</v>
      </c>
      <c r="G9" s="502">
        <v>3787</v>
      </c>
      <c r="H9" s="500">
        <f t="shared" si="4"/>
        <v>6572</v>
      </c>
      <c r="I9" s="503">
        <v>3598</v>
      </c>
      <c r="J9" s="504">
        <v>2974</v>
      </c>
      <c r="K9" s="505" t="s">
        <v>36</v>
      </c>
      <c r="L9" s="506" t="s">
        <v>36</v>
      </c>
      <c r="M9" s="507" t="s">
        <v>36</v>
      </c>
      <c r="N9" s="101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</row>
    <row r="10" spans="1:170" s="440" customFormat="1" ht="20.25" customHeight="1">
      <c r="A10" s="455" t="s">
        <v>60</v>
      </c>
      <c r="B10" s="500">
        <f t="shared" si="0"/>
        <v>6746</v>
      </c>
      <c r="C10" s="503">
        <f t="shared" si="1"/>
        <v>2931</v>
      </c>
      <c r="D10" s="502">
        <f t="shared" si="2"/>
        <v>3815</v>
      </c>
      <c r="E10" s="500">
        <f t="shared" si="3"/>
        <v>2985</v>
      </c>
      <c r="F10" s="503">
        <v>1557</v>
      </c>
      <c r="G10" s="502">
        <v>1428</v>
      </c>
      <c r="H10" s="500">
        <f t="shared" si="4"/>
        <v>3761</v>
      </c>
      <c r="I10" s="503">
        <v>1374</v>
      </c>
      <c r="J10" s="504">
        <v>2387</v>
      </c>
      <c r="K10" s="505" t="s">
        <v>36</v>
      </c>
      <c r="L10" s="506" t="s">
        <v>36</v>
      </c>
      <c r="M10" s="507" t="s">
        <v>36</v>
      </c>
      <c r="N10" s="101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</row>
    <row r="11" spans="1:170" s="440" customFormat="1" ht="20.25" customHeight="1">
      <c r="A11" s="455" t="s">
        <v>61</v>
      </c>
      <c r="B11" s="500">
        <f t="shared" si="0"/>
        <v>4089</v>
      </c>
      <c r="C11" s="503">
        <f t="shared" si="1"/>
        <v>1964</v>
      </c>
      <c r="D11" s="502">
        <f t="shared" si="2"/>
        <v>2125</v>
      </c>
      <c r="E11" s="500">
        <f t="shared" si="3"/>
        <v>2603</v>
      </c>
      <c r="F11" s="503">
        <v>1284</v>
      </c>
      <c r="G11" s="502">
        <v>1319</v>
      </c>
      <c r="H11" s="500">
        <f t="shared" si="4"/>
        <v>1486</v>
      </c>
      <c r="I11" s="503">
        <v>680</v>
      </c>
      <c r="J11" s="504">
        <v>806</v>
      </c>
      <c r="K11" s="505" t="s">
        <v>36</v>
      </c>
      <c r="L11" s="506" t="s">
        <v>36</v>
      </c>
      <c r="M11" s="507" t="s">
        <v>36</v>
      </c>
      <c r="N11" s="10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</row>
    <row r="12" spans="1:170" s="440" customFormat="1" ht="20.25" customHeight="1">
      <c r="A12" s="455" t="s">
        <v>62</v>
      </c>
      <c r="B12" s="500">
        <f t="shared" si="0"/>
        <v>45880</v>
      </c>
      <c r="C12" s="503">
        <f t="shared" si="1"/>
        <v>22878</v>
      </c>
      <c r="D12" s="502">
        <f t="shared" si="2"/>
        <v>23002</v>
      </c>
      <c r="E12" s="500">
        <f t="shared" si="3"/>
        <v>17088</v>
      </c>
      <c r="F12" s="503">
        <v>7936</v>
      </c>
      <c r="G12" s="502">
        <v>9152</v>
      </c>
      <c r="H12" s="500">
        <f t="shared" si="4"/>
        <v>25701</v>
      </c>
      <c r="I12" s="503">
        <f>13137+94</f>
        <v>13231</v>
      </c>
      <c r="J12" s="504">
        <f>12391+79</f>
        <v>12470</v>
      </c>
      <c r="K12" s="500">
        <f t="shared" si="5"/>
        <v>3091</v>
      </c>
      <c r="L12" s="503">
        <v>1711</v>
      </c>
      <c r="M12" s="504">
        <v>1380</v>
      </c>
      <c r="N12" s="10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</row>
    <row r="13" spans="1:170" s="440" customFormat="1" ht="20.25" customHeight="1">
      <c r="A13" s="455" t="s">
        <v>63</v>
      </c>
      <c r="B13" s="500">
        <f t="shared" si="0"/>
        <v>5837</v>
      </c>
      <c r="C13" s="503">
        <f t="shared" si="1"/>
        <v>2560</v>
      </c>
      <c r="D13" s="502">
        <f t="shared" si="2"/>
        <v>3277</v>
      </c>
      <c r="E13" s="500">
        <f t="shared" si="3"/>
        <v>3023</v>
      </c>
      <c r="F13" s="503">
        <v>1401</v>
      </c>
      <c r="G13" s="502">
        <v>1622</v>
      </c>
      <c r="H13" s="500">
        <f t="shared" si="4"/>
        <v>1431</v>
      </c>
      <c r="I13" s="503">
        <v>427</v>
      </c>
      <c r="J13" s="504">
        <v>1004</v>
      </c>
      <c r="K13" s="500">
        <f t="shared" si="5"/>
        <v>1383</v>
      </c>
      <c r="L13" s="503">
        <v>732</v>
      </c>
      <c r="M13" s="504">
        <v>651</v>
      </c>
      <c r="N13" s="10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</row>
    <row r="14" spans="1:170" s="440" customFormat="1" ht="20.25" customHeight="1">
      <c r="A14" s="455" t="s">
        <v>64</v>
      </c>
      <c r="B14" s="500">
        <f t="shared" si="0"/>
        <v>1963</v>
      </c>
      <c r="C14" s="503">
        <f t="shared" si="1"/>
        <v>716</v>
      </c>
      <c r="D14" s="502">
        <f t="shared" si="2"/>
        <v>1247</v>
      </c>
      <c r="E14" s="500">
        <f t="shared" si="3"/>
        <v>1441</v>
      </c>
      <c r="F14" s="503">
        <v>466</v>
      </c>
      <c r="G14" s="502">
        <v>975</v>
      </c>
      <c r="H14" s="500">
        <f t="shared" si="4"/>
        <v>522</v>
      </c>
      <c r="I14" s="503">
        <v>250</v>
      </c>
      <c r="J14" s="504">
        <v>272</v>
      </c>
      <c r="K14" s="505" t="s">
        <v>36</v>
      </c>
      <c r="L14" s="506" t="s">
        <v>36</v>
      </c>
      <c r="M14" s="507" t="s">
        <v>36</v>
      </c>
      <c r="N14" s="101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</row>
    <row r="15" spans="1:170" s="440" customFormat="1" ht="20.25" customHeight="1">
      <c r="A15" s="435" t="s">
        <v>65</v>
      </c>
      <c r="B15" s="508">
        <f>SUM(C15,D15)</f>
        <v>111294</v>
      </c>
      <c r="C15" s="501">
        <f aca="true" t="shared" si="6" ref="C15:D17">SUM(F15,I15,L15)</f>
        <v>53126</v>
      </c>
      <c r="D15" s="509">
        <f t="shared" si="6"/>
        <v>58168</v>
      </c>
      <c r="E15" s="508">
        <f t="shared" si="3"/>
        <v>48978</v>
      </c>
      <c r="F15" s="501">
        <f>SUM(F6:F14)</f>
        <v>23037</v>
      </c>
      <c r="G15" s="509">
        <f>SUM(G6:G14)</f>
        <v>25941</v>
      </c>
      <c r="H15" s="508">
        <f t="shared" si="4"/>
        <v>56038</v>
      </c>
      <c r="I15" s="501">
        <f>SUM(I6:I14)</f>
        <v>26604</v>
      </c>
      <c r="J15" s="510">
        <f>SUM(J6:J14)</f>
        <v>29434</v>
      </c>
      <c r="K15" s="508">
        <f>L15+M15</f>
        <v>6278</v>
      </c>
      <c r="L15" s="501">
        <f>SUM(L6:L14)</f>
        <v>3485</v>
      </c>
      <c r="M15" s="510">
        <f>SUM(M6:M14)</f>
        <v>2793</v>
      </c>
      <c r="N15" s="101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</row>
    <row r="16" spans="1:170" s="440" customFormat="1" ht="20.25" customHeight="1">
      <c r="A16" s="455" t="s">
        <v>66</v>
      </c>
      <c r="B16" s="511">
        <f>SUM(C16,D16)</f>
        <v>3585</v>
      </c>
      <c r="C16" s="512">
        <f t="shared" si="6"/>
        <v>1657</v>
      </c>
      <c r="D16" s="513">
        <f t="shared" si="6"/>
        <v>1928</v>
      </c>
      <c r="E16" s="514" t="s">
        <v>36</v>
      </c>
      <c r="F16" s="515" t="s">
        <v>36</v>
      </c>
      <c r="G16" s="505" t="s">
        <v>36</v>
      </c>
      <c r="H16" s="511">
        <f t="shared" si="4"/>
        <v>3585</v>
      </c>
      <c r="I16" s="512">
        <f>1247+410</f>
        <v>1657</v>
      </c>
      <c r="J16" s="516">
        <f>467+1461</f>
        <v>1928</v>
      </c>
      <c r="K16" s="505" t="s">
        <v>36</v>
      </c>
      <c r="L16" s="506" t="s">
        <v>36</v>
      </c>
      <c r="M16" s="507" t="s">
        <v>36</v>
      </c>
      <c r="N16" s="101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</row>
    <row r="17" spans="1:170" s="440" customFormat="1" ht="20.25" customHeight="1">
      <c r="A17" s="475" t="s">
        <v>67</v>
      </c>
      <c r="B17" s="517">
        <f>SUM(C17,D17)</f>
        <v>114879</v>
      </c>
      <c r="C17" s="518">
        <f t="shared" si="6"/>
        <v>54783</v>
      </c>
      <c r="D17" s="519">
        <f t="shared" si="6"/>
        <v>60096</v>
      </c>
      <c r="E17" s="517">
        <f t="shared" si="3"/>
        <v>48978</v>
      </c>
      <c r="F17" s="518">
        <f>SUM(F15:F16)</f>
        <v>23037</v>
      </c>
      <c r="G17" s="520">
        <f>SUM(G15:G16)</f>
        <v>25941</v>
      </c>
      <c r="H17" s="517">
        <f t="shared" si="4"/>
        <v>59623</v>
      </c>
      <c r="I17" s="518">
        <f>SUM(I15:I16)</f>
        <v>28261</v>
      </c>
      <c r="J17" s="519">
        <f>SUM(J15:J16)</f>
        <v>31362</v>
      </c>
      <c r="K17" s="517">
        <f>L17+M17</f>
        <v>6278</v>
      </c>
      <c r="L17" s="518">
        <f>SUM(L15:L16)</f>
        <v>3485</v>
      </c>
      <c r="M17" s="519">
        <f>SUM(M15:M16)</f>
        <v>2793</v>
      </c>
      <c r="N17" s="101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</row>
    <row r="18" spans="2:170" s="440" customFormat="1" ht="9" customHeight="1">
      <c r="B18" s="495"/>
      <c r="C18" s="495"/>
      <c r="D18" s="495"/>
      <c r="E18" s="509"/>
      <c r="F18" s="509"/>
      <c r="G18" s="509"/>
      <c r="H18" s="509"/>
      <c r="I18" s="509"/>
      <c r="J18" s="509"/>
      <c r="K18" s="521"/>
      <c r="L18" s="521"/>
      <c r="M18" s="521"/>
      <c r="N18" s="101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</row>
    <row r="19" spans="1:170" s="432" customFormat="1" ht="22.5" customHeight="1">
      <c r="A19" s="1102" t="s">
        <v>336</v>
      </c>
      <c r="B19" s="495"/>
      <c r="C19" s="495"/>
      <c r="D19" s="495"/>
      <c r="E19" s="495"/>
      <c r="F19" s="495"/>
      <c r="G19" s="495"/>
      <c r="H19" s="495"/>
      <c r="I19" s="495"/>
      <c r="J19" s="434"/>
      <c r="K19" s="521"/>
      <c r="L19" s="521"/>
      <c r="M19" s="521"/>
      <c r="N19" s="101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</row>
    <row r="20" spans="2:170" s="440" customFormat="1" ht="7.5" customHeight="1">
      <c r="B20" s="495"/>
      <c r="C20" s="495"/>
      <c r="D20" s="495"/>
      <c r="E20" s="513"/>
      <c r="F20" s="502"/>
      <c r="G20" s="502"/>
      <c r="H20" s="502"/>
      <c r="I20" s="502"/>
      <c r="J20" s="502"/>
      <c r="K20" s="521"/>
      <c r="L20" s="521"/>
      <c r="M20" s="521"/>
      <c r="N20" s="101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</row>
    <row r="21" spans="1:170" s="440" customFormat="1" ht="14.25" customHeight="1">
      <c r="A21" s="1406" t="s">
        <v>31</v>
      </c>
      <c r="B21" s="1490" t="s">
        <v>74</v>
      </c>
      <c r="C21" s="1491"/>
      <c r="D21" s="1492"/>
      <c r="E21" s="1490" t="s">
        <v>143</v>
      </c>
      <c r="F21" s="1491"/>
      <c r="G21" s="1492"/>
      <c r="H21" s="1487" t="s">
        <v>78</v>
      </c>
      <c r="I21" s="1488"/>
      <c r="J21" s="1488"/>
      <c r="K21" s="1488"/>
      <c r="L21" s="1488"/>
      <c r="M21" s="1489"/>
      <c r="N21" s="10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</row>
    <row r="22" spans="1:170" s="440" customFormat="1" ht="15" customHeight="1">
      <c r="A22" s="1496"/>
      <c r="B22" s="1493"/>
      <c r="C22" s="1494"/>
      <c r="D22" s="1495"/>
      <c r="E22" s="1493"/>
      <c r="F22" s="1494"/>
      <c r="G22" s="1495"/>
      <c r="H22" s="1487" t="s">
        <v>144</v>
      </c>
      <c r="I22" s="1488"/>
      <c r="J22" s="1489"/>
      <c r="K22" s="1487" t="s">
        <v>77</v>
      </c>
      <c r="L22" s="1488"/>
      <c r="M22" s="1489"/>
      <c r="N22" s="101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</row>
    <row r="23" spans="1:170" s="440" customFormat="1" ht="14.25" customHeight="1">
      <c r="A23" s="1407"/>
      <c r="B23" s="496" t="s">
        <v>5</v>
      </c>
      <c r="C23" s="498" t="s">
        <v>39</v>
      </c>
      <c r="D23" s="499" t="s">
        <v>40</v>
      </c>
      <c r="E23" s="496" t="s">
        <v>5</v>
      </c>
      <c r="F23" s="498" t="s">
        <v>39</v>
      </c>
      <c r="G23" s="497" t="s">
        <v>40</v>
      </c>
      <c r="H23" s="496" t="s">
        <v>5</v>
      </c>
      <c r="I23" s="498" t="s">
        <v>39</v>
      </c>
      <c r="J23" s="497" t="s">
        <v>40</v>
      </c>
      <c r="K23" s="496" t="s">
        <v>5</v>
      </c>
      <c r="L23" s="498" t="s">
        <v>39</v>
      </c>
      <c r="M23" s="497" t="s">
        <v>40</v>
      </c>
      <c r="N23" s="101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</row>
    <row r="24" spans="1:170" s="440" customFormat="1" ht="21.75" customHeight="1">
      <c r="A24" s="455" t="s">
        <v>32</v>
      </c>
      <c r="B24" s="500">
        <f aca="true" t="shared" si="7" ref="B24:D28">E24+H24+K24</f>
        <v>34416</v>
      </c>
      <c r="C24" s="503">
        <f t="shared" si="7"/>
        <v>16099</v>
      </c>
      <c r="D24" s="502">
        <f t="shared" si="7"/>
        <v>18317</v>
      </c>
      <c r="E24" s="500">
        <f aca="true" t="shared" si="8" ref="E24:E30">F24+G24</f>
        <v>16047</v>
      </c>
      <c r="F24" s="503">
        <v>8013</v>
      </c>
      <c r="G24" s="502">
        <v>8034</v>
      </c>
      <c r="H24" s="500">
        <f aca="true" t="shared" si="9" ref="H24:H30">I24+J24</f>
        <v>16565</v>
      </c>
      <c r="I24" s="503">
        <f>173+6871</f>
        <v>7044</v>
      </c>
      <c r="J24" s="504">
        <f>8477+1044</f>
        <v>9521</v>
      </c>
      <c r="K24" s="500">
        <f aca="true" t="shared" si="10" ref="K24:K30">L24+M24</f>
        <v>1804</v>
      </c>
      <c r="L24" s="503">
        <v>1042</v>
      </c>
      <c r="M24" s="504">
        <v>762</v>
      </c>
      <c r="N24" s="101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</row>
    <row r="25" spans="1:170" s="440" customFormat="1" ht="21.75" customHeight="1">
      <c r="A25" s="455" t="s">
        <v>33</v>
      </c>
      <c r="B25" s="500">
        <f t="shared" si="7"/>
        <v>30338</v>
      </c>
      <c r="C25" s="503">
        <f t="shared" si="7"/>
        <v>14947</v>
      </c>
      <c r="D25" s="502">
        <f t="shared" si="7"/>
        <v>15391</v>
      </c>
      <c r="E25" s="500">
        <f t="shared" si="8"/>
        <v>13497</v>
      </c>
      <c r="F25" s="503">
        <v>6126</v>
      </c>
      <c r="G25" s="502">
        <v>7371</v>
      </c>
      <c r="H25" s="500">
        <f t="shared" si="9"/>
        <v>15281</v>
      </c>
      <c r="I25" s="503">
        <v>7975</v>
      </c>
      <c r="J25" s="504">
        <v>7306</v>
      </c>
      <c r="K25" s="500">
        <f t="shared" si="10"/>
        <v>1560</v>
      </c>
      <c r="L25" s="503">
        <v>846</v>
      </c>
      <c r="M25" s="504">
        <v>714</v>
      </c>
      <c r="N25" s="101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</row>
    <row r="26" spans="1:170" s="440" customFormat="1" ht="21.75" customHeight="1">
      <c r="A26" s="455" t="s">
        <v>34</v>
      </c>
      <c r="B26" s="500">
        <f t="shared" si="7"/>
        <v>27101</v>
      </c>
      <c r="C26" s="503">
        <f t="shared" si="7"/>
        <v>13255</v>
      </c>
      <c r="D26" s="502">
        <f t="shared" si="7"/>
        <v>13846</v>
      </c>
      <c r="E26" s="500">
        <f t="shared" si="8"/>
        <v>8825</v>
      </c>
      <c r="F26" s="503">
        <v>4441</v>
      </c>
      <c r="G26" s="502">
        <v>4384</v>
      </c>
      <c r="H26" s="500">
        <f t="shared" si="9"/>
        <v>15652</v>
      </c>
      <c r="I26" s="503">
        <v>7378</v>
      </c>
      <c r="J26" s="504">
        <v>8274</v>
      </c>
      <c r="K26" s="500">
        <f t="shared" si="10"/>
        <v>2624</v>
      </c>
      <c r="L26" s="503">
        <v>1436</v>
      </c>
      <c r="M26" s="504">
        <v>1188</v>
      </c>
      <c r="N26" s="101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</row>
    <row r="27" spans="1:170" s="440" customFormat="1" ht="5.25" customHeight="1">
      <c r="A27" s="455"/>
      <c r="B27" s="500"/>
      <c r="C27" s="503"/>
      <c r="D27" s="502"/>
      <c r="E27" s="500"/>
      <c r="F27" s="503"/>
      <c r="G27" s="502"/>
      <c r="H27" s="500"/>
      <c r="I27" s="503"/>
      <c r="J27" s="504"/>
      <c r="K27" s="500"/>
      <c r="L27" s="503"/>
      <c r="M27" s="504"/>
      <c r="N27" s="101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</row>
    <row r="28" spans="1:170" s="440" customFormat="1" ht="21.75" customHeight="1">
      <c r="A28" s="1089" t="s">
        <v>47</v>
      </c>
      <c r="B28" s="500">
        <f t="shared" si="7"/>
        <v>19439</v>
      </c>
      <c r="C28" s="503">
        <f t="shared" si="7"/>
        <v>8825</v>
      </c>
      <c r="D28" s="502">
        <f t="shared" si="7"/>
        <v>10614</v>
      </c>
      <c r="E28" s="500">
        <f t="shared" si="8"/>
        <v>10609</v>
      </c>
      <c r="F28" s="503">
        <v>4457</v>
      </c>
      <c r="G28" s="502">
        <v>6152</v>
      </c>
      <c r="H28" s="500">
        <f t="shared" si="9"/>
        <v>8540</v>
      </c>
      <c r="I28" s="503">
        <f>4113+94</f>
        <v>4207</v>
      </c>
      <c r="J28" s="504">
        <f>4254+79</f>
        <v>4333</v>
      </c>
      <c r="K28" s="500">
        <f t="shared" si="10"/>
        <v>290</v>
      </c>
      <c r="L28" s="503">
        <v>161</v>
      </c>
      <c r="M28" s="504">
        <v>129</v>
      </c>
      <c r="N28" s="101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</row>
    <row r="29" spans="1:170" s="440" customFormat="1" ht="21.75" customHeight="1">
      <c r="A29" s="389" t="s">
        <v>466</v>
      </c>
      <c r="B29" s="500">
        <f>SUM(E29,H29,K29)</f>
        <v>3585</v>
      </c>
      <c r="C29" s="503">
        <f>SUM(F29,I29,L29)</f>
        <v>1657</v>
      </c>
      <c r="D29" s="502">
        <f>SUM(G29,J29,M29)</f>
        <v>1928</v>
      </c>
      <c r="E29" s="514" t="s">
        <v>36</v>
      </c>
      <c r="F29" s="515" t="s">
        <v>36</v>
      </c>
      <c r="G29" s="505" t="s">
        <v>36</v>
      </c>
      <c r="H29" s="500">
        <f t="shared" si="9"/>
        <v>3585</v>
      </c>
      <c r="I29" s="503">
        <f>1247+410</f>
        <v>1657</v>
      </c>
      <c r="J29" s="504">
        <f>1461+467</f>
        <v>1928</v>
      </c>
      <c r="K29" s="514" t="s">
        <v>36</v>
      </c>
      <c r="L29" s="515" t="s">
        <v>36</v>
      </c>
      <c r="M29" s="522" t="s">
        <v>36</v>
      </c>
      <c r="N29" s="101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</row>
    <row r="30" spans="1:170" s="440" customFormat="1" ht="21.75" customHeight="1">
      <c r="A30" s="475" t="s">
        <v>48</v>
      </c>
      <c r="B30" s="517">
        <f>E30+H30+K30</f>
        <v>114879</v>
      </c>
      <c r="C30" s="518">
        <f>F30+I30+L30</f>
        <v>54783</v>
      </c>
      <c r="D30" s="520">
        <f>G30+J30+M30</f>
        <v>60096</v>
      </c>
      <c r="E30" s="517">
        <f t="shared" si="8"/>
        <v>48978</v>
      </c>
      <c r="F30" s="518">
        <f>SUM(F24:F29)</f>
        <v>23037</v>
      </c>
      <c r="G30" s="520">
        <f>SUM(G24:G29)</f>
        <v>25941</v>
      </c>
      <c r="H30" s="517">
        <f t="shared" si="9"/>
        <v>59623</v>
      </c>
      <c r="I30" s="518">
        <f>SUM(I24:I29)</f>
        <v>28261</v>
      </c>
      <c r="J30" s="519">
        <f>SUM(J24:J29)</f>
        <v>31362</v>
      </c>
      <c r="K30" s="517">
        <f t="shared" si="10"/>
        <v>6278</v>
      </c>
      <c r="L30" s="518">
        <f>SUM(L24:L29)</f>
        <v>3485</v>
      </c>
      <c r="M30" s="519">
        <f>SUM(M24:M29)</f>
        <v>2793</v>
      </c>
      <c r="N30" s="101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</row>
    <row r="31" ht="6.75" customHeight="1">
      <c r="A31" s="491"/>
    </row>
    <row r="32" spans="1:170" s="492" customFormat="1" ht="15" customHeight="1">
      <c r="A32" s="492" t="s">
        <v>246</v>
      </c>
      <c r="N32" s="98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</row>
    <row r="33" spans="1:170" s="523" customFormat="1" ht="16.5" customHeight="1">
      <c r="A33" s="1497" t="s">
        <v>250</v>
      </c>
      <c r="B33" s="1497"/>
      <c r="C33" s="1497"/>
      <c r="D33" s="1497"/>
      <c r="E33" s="1497"/>
      <c r="F33" s="1497"/>
      <c r="G33" s="1497"/>
      <c r="H33" s="1497"/>
      <c r="I33" s="1497"/>
      <c r="J33" s="1497"/>
      <c r="N33" s="98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</sheetData>
  <sheetProtection/>
  <mergeCells count="13">
    <mergeCell ref="A33:J33"/>
    <mergeCell ref="H3:M3"/>
    <mergeCell ref="H4:J4"/>
    <mergeCell ref="K4:M4"/>
    <mergeCell ref="E3:G4"/>
    <mergeCell ref="B3:D4"/>
    <mergeCell ref="H21:M21"/>
    <mergeCell ref="H22:J22"/>
    <mergeCell ref="K22:M22"/>
    <mergeCell ref="B21:D22"/>
    <mergeCell ref="A21:A23"/>
    <mergeCell ref="E21:G22"/>
    <mergeCell ref="A3:A5"/>
  </mergeCells>
  <printOptions/>
  <pageMargins left="0.24" right="0.2" top="0.25" bottom="0.25" header="0.25" footer="0.25"/>
  <pageSetup horizontalDpi="300" verticalDpi="3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pane xSplit="1" ySplit="4" topLeftCell="B5" activePane="bottomRight" state="frozen"/>
      <selection pane="topLeft" activeCell="B12" sqref="B12:H12"/>
      <selection pane="topRight" activeCell="B12" sqref="B12:H12"/>
      <selection pane="bottomLeft" activeCell="B12" sqref="B12:H12"/>
      <selection pane="bottomRight" activeCell="A31" sqref="A31"/>
    </sheetView>
  </sheetViews>
  <sheetFormatPr defaultColWidth="9.140625" defaultRowHeight="12.75"/>
  <cols>
    <col min="1" max="1" width="34.28125" style="527" customWidth="1"/>
    <col min="2" max="6" width="7.140625" style="527" customWidth="1"/>
    <col min="7" max="8" width="7.28125" style="527" customWidth="1"/>
    <col min="9" max="9" width="7.7109375" style="527" customWidth="1"/>
    <col min="10" max="10" width="6.28125" style="527" customWidth="1"/>
    <col min="11" max="11" width="5.00390625" style="527" customWidth="1"/>
    <col min="12" max="16384" width="9.140625" style="527" customWidth="1"/>
  </cols>
  <sheetData>
    <row r="1" ht="24.75" customHeight="1">
      <c r="A1" s="1103" t="s">
        <v>337</v>
      </c>
    </row>
    <row r="2" ht="15.75" customHeight="1">
      <c r="A2" s="528"/>
    </row>
    <row r="3" spans="1:9" s="531" customFormat="1" ht="28.5" customHeight="1">
      <c r="A3" s="1498" t="s">
        <v>15</v>
      </c>
      <c r="B3" s="529" t="s">
        <v>96</v>
      </c>
      <c r="C3" s="529"/>
      <c r="D3" s="529"/>
      <c r="E3" s="529"/>
      <c r="F3" s="529"/>
      <c r="G3" s="529"/>
      <c r="H3" s="530"/>
      <c r="I3" s="529" t="s">
        <v>145</v>
      </c>
    </row>
    <row r="4" spans="1:9" s="531" customFormat="1" ht="28.5" customHeight="1">
      <c r="A4" s="1499"/>
      <c r="B4" s="532" t="s">
        <v>83</v>
      </c>
      <c r="C4" s="533" t="s">
        <v>84</v>
      </c>
      <c r="D4" s="533" t="s">
        <v>85</v>
      </c>
      <c r="E4" s="533" t="s">
        <v>86</v>
      </c>
      <c r="F4" s="533" t="s">
        <v>87</v>
      </c>
      <c r="G4" s="534" t="s">
        <v>146</v>
      </c>
      <c r="H4" s="535" t="s">
        <v>147</v>
      </c>
      <c r="I4" s="536" t="s">
        <v>148</v>
      </c>
    </row>
    <row r="5" spans="1:9" s="531" customFormat="1" ht="31.5" customHeight="1">
      <c r="A5" s="1125" t="s">
        <v>55</v>
      </c>
      <c r="B5" s="1116">
        <v>2065</v>
      </c>
      <c r="C5" s="1116">
        <v>2262</v>
      </c>
      <c r="D5" s="1116">
        <v>2374</v>
      </c>
      <c r="E5" s="1117">
        <v>2568</v>
      </c>
      <c r="F5" s="1116">
        <v>2731</v>
      </c>
      <c r="G5" s="1116">
        <v>1510</v>
      </c>
      <c r="H5" s="1118">
        <v>1529</v>
      </c>
      <c r="I5" s="1119">
        <f aca="true" t="shared" si="0" ref="I5:I16">SUM(B5:H5)</f>
        <v>15039</v>
      </c>
    </row>
    <row r="6" spans="1:9" s="531" customFormat="1" ht="31.5" customHeight="1">
      <c r="A6" s="1126" t="s">
        <v>56</v>
      </c>
      <c r="B6" s="1117">
        <v>1389</v>
      </c>
      <c r="C6" s="1117">
        <v>1321</v>
      </c>
      <c r="D6" s="1117">
        <v>1480</v>
      </c>
      <c r="E6" s="1117">
        <v>1695</v>
      </c>
      <c r="F6" s="1117">
        <v>1643</v>
      </c>
      <c r="G6" s="1117">
        <v>742</v>
      </c>
      <c r="H6" s="1120">
        <v>804</v>
      </c>
      <c r="I6" s="1121">
        <f t="shared" si="0"/>
        <v>9074</v>
      </c>
    </row>
    <row r="7" spans="1:9" s="531" customFormat="1" ht="31.5" customHeight="1">
      <c r="A7" s="1126" t="s">
        <v>58</v>
      </c>
      <c r="B7" s="1117">
        <v>1461</v>
      </c>
      <c r="C7" s="1117">
        <v>1518</v>
      </c>
      <c r="D7" s="1117">
        <v>1435</v>
      </c>
      <c r="E7" s="1117">
        <v>1933</v>
      </c>
      <c r="F7" s="1117">
        <v>1744</v>
      </c>
      <c r="G7" s="1117">
        <v>913</v>
      </c>
      <c r="H7" s="1120">
        <v>923</v>
      </c>
      <c r="I7" s="1121">
        <f t="shared" si="0"/>
        <v>9927</v>
      </c>
    </row>
    <row r="8" spans="1:9" s="531" customFormat="1" ht="31.5" customHeight="1">
      <c r="A8" s="1126" t="s">
        <v>59</v>
      </c>
      <c r="B8" s="1117">
        <v>1700</v>
      </c>
      <c r="C8" s="1117">
        <v>1913</v>
      </c>
      <c r="D8" s="1117">
        <v>1894</v>
      </c>
      <c r="E8" s="1117">
        <v>2247</v>
      </c>
      <c r="F8" s="1117">
        <v>2809</v>
      </c>
      <c r="G8" s="1117">
        <v>1087</v>
      </c>
      <c r="H8" s="1120">
        <v>1089</v>
      </c>
      <c r="I8" s="1121">
        <f t="shared" si="0"/>
        <v>12739</v>
      </c>
    </row>
    <row r="9" spans="1:9" s="531" customFormat="1" ht="31.5" customHeight="1">
      <c r="A9" s="1126" t="s">
        <v>60</v>
      </c>
      <c r="B9" s="1117">
        <v>869</v>
      </c>
      <c r="C9" s="1117">
        <v>925</v>
      </c>
      <c r="D9" s="1117">
        <v>907</v>
      </c>
      <c r="E9" s="1117">
        <v>1290</v>
      </c>
      <c r="F9" s="1117">
        <v>1553</v>
      </c>
      <c r="G9" s="1117">
        <v>558</v>
      </c>
      <c r="H9" s="1120">
        <v>644</v>
      </c>
      <c r="I9" s="1121">
        <f t="shared" si="0"/>
        <v>6746</v>
      </c>
    </row>
    <row r="10" spans="1:9" s="531" customFormat="1" ht="31.5" customHeight="1">
      <c r="A10" s="1126" t="s">
        <v>61</v>
      </c>
      <c r="B10" s="1117">
        <v>539</v>
      </c>
      <c r="C10" s="1117">
        <v>609</v>
      </c>
      <c r="D10" s="1117">
        <v>651</v>
      </c>
      <c r="E10" s="1117">
        <v>712</v>
      </c>
      <c r="F10" s="1117">
        <v>969</v>
      </c>
      <c r="G10" s="1117">
        <v>312</v>
      </c>
      <c r="H10" s="1120">
        <v>297</v>
      </c>
      <c r="I10" s="1121">
        <f t="shared" si="0"/>
        <v>4089</v>
      </c>
    </row>
    <row r="11" spans="1:9" s="531" customFormat="1" ht="31.5" customHeight="1">
      <c r="A11" s="1126" t="s">
        <v>62</v>
      </c>
      <c r="B11" s="1117">
        <v>6500</v>
      </c>
      <c r="C11" s="1117">
        <v>6666</v>
      </c>
      <c r="D11" s="1117">
        <v>6898</v>
      </c>
      <c r="E11" s="1117">
        <v>8025</v>
      </c>
      <c r="F11" s="1117">
        <v>7637</v>
      </c>
      <c r="G11" s="1117">
        <v>5144</v>
      </c>
      <c r="H11" s="1120">
        <v>5010</v>
      </c>
      <c r="I11" s="1121">
        <f t="shared" si="0"/>
        <v>45880</v>
      </c>
    </row>
    <row r="12" spans="1:9" s="531" customFormat="1" ht="31.5" customHeight="1">
      <c r="A12" s="1126" t="s">
        <v>63</v>
      </c>
      <c r="B12" s="1117">
        <v>902</v>
      </c>
      <c r="C12" s="1117">
        <v>833</v>
      </c>
      <c r="D12" s="1117">
        <v>843</v>
      </c>
      <c r="E12" s="1117">
        <v>1069</v>
      </c>
      <c r="F12" s="1117">
        <v>1011</v>
      </c>
      <c r="G12" s="1117">
        <v>622</v>
      </c>
      <c r="H12" s="1120">
        <v>557</v>
      </c>
      <c r="I12" s="1121">
        <f t="shared" si="0"/>
        <v>5837</v>
      </c>
    </row>
    <row r="13" spans="1:9" s="531" customFormat="1" ht="31.5" customHeight="1">
      <c r="A13" s="1126" t="s">
        <v>64</v>
      </c>
      <c r="B13" s="1117">
        <v>304</v>
      </c>
      <c r="C13" s="1117">
        <v>360</v>
      </c>
      <c r="D13" s="1117">
        <v>374</v>
      </c>
      <c r="E13" s="1117">
        <v>336</v>
      </c>
      <c r="F13" s="1117">
        <v>381</v>
      </c>
      <c r="G13" s="1117">
        <v>120</v>
      </c>
      <c r="H13" s="1120">
        <v>88</v>
      </c>
      <c r="I13" s="1121">
        <f t="shared" si="0"/>
        <v>1963</v>
      </c>
    </row>
    <row r="14" spans="1:9" s="531" customFormat="1" ht="31.5" customHeight="1">
      <c r="A14" s="1125" t="s">
        <v>65</v>
      </c>
      <c r="B14" s="1116">
        <f aca="true" t="shared" si="1" ref="B14:H14">SUM(B5:B13)</f>
        <v>15729</v>
      </c>
      <c r="C14" s="1116">
        <f t="shared" si="1"/>
        <v>16407</v>
      </c>
      <c r="D14" s="1116">
        <f t="shared" si="1"/>
        <v>16856</v>
      </c>
      <c r="E14" s="1116">
        <f t="shared" si="1"/>
        <v>19875</v>
      </c>
      <c r="F14" s="1116">
        <f t="shared" si="1"/>
        <v>20478</v>
      </c>
      <c r="G14" s="1116">
        <f t="shared" si="1"/>
        <v>11008</v>
      </c>
      <c r="H14" s="1118">
        <f t="shared" si="1"/>
        <v>10941</v>
      </c>
      <c r="I14" s="1119">
        <f t="shared" si="0"/>
        <v>111294</v>
      </c>
    </row>
    <row r="15" spans="1:9" s="531" customFormat="1" ht="31.5" customHeight="1">
      <c r="A15" s="1126" t="s">
        <v>66</v>
      </c>
      <c r="B15" s="1117">
        <v>512</v>
      </c>
      <c r="C15" s="1117">
        <v>551</v>
      </c>
      <c r="D15" s="1117">
        <v>667</v>
      </c>
      <c r="E15" s="1117">
        <v>647</v>
      </c>
      <c r="F15" s="1117">
        <v>676</v>
      </c>
      <c r="G15" s="1117">
        <v>255</v>
      </c>
      <c r="H15" s="1120">
        <v>277</v>
      </c>
      <c r="I15" s="1121">
        <f t="shared" si="0"/>
        <v>3585</v>
      </c>
    </row>
    <row r="16" spans="1:9" s="531" customFormat="1" ht="31.5" customHeight="1">
      <c r="A16" s="1127" t="s">
        <v>90</v>
      </c>
      <c r="B16" s="1122">
        <f>SUM(B14:B15)</f>
        <v>16241</v>
      </c>
      <c r="C16" s="1122">
        <f aca="true" t="shared" si="2" ref="C16:H16">SUM(C14:C15)</f>
        <v>16958</v>
      </c>
      <c r="D16" s="1122">
        <f t="shared" si="2"/>
        <v>17523</v>
      </c>
      <c r="E16" s="1122">
        <f t="shared" si="2"/>
        <v>20522</v>
      </c>
      <c r="F16" s="1122">
        <f t="shared" si="2"/>
        <v>21154</v>
      </c>
      <c r="G16" s="1122">
        <f t="shared" si="2"/>
        <v>11263</v>
      </c>
      <c r="H16" s="1123">
        <f t="shared" si="2"/>
        <v>11218</v>
      </c>
      <c r="I16" s="1124">
        <f t="shared" si="0"/>
        <v>114879</v>
      </c>
    </row>
    <row r="17" s="531" customFormat="1" ht="16.5" customHeight="1">
      <c r="A17" s="531" t="s">
        <v>97</v>
      </c>
    </row>
    <row r="18" s="531" customFormat="1" ht="24" customHeight="1">
      <c r="A18" s="1103" t="s">
        <v>338</v>
      </c>
    </row>
    <row r="19" s="531" customFormat="1" ht="16.5" customHeight="1"/>
    <row r="20" spans="1:9" s="531" customFormat="1" ht="28.5" customHeight="1">
      <c r="A20" s="1498" t="s">
        <v>31</v>
      </c>
      <c r="B20" s="537" t="s">
        <v>96</v>
      </c>
      <c r="C20" s="538"/>
      <c r="D20" s="537"/>
      <c r="E20" s="538"/>
      <c r="F20" s="537"/>
      <c r="G20" s="538"/>
      <c r="H20" s="539"/>
      <c r="I20" s="529" t="s">
        <v>145</v>
      </c>
    </row>
    <row r="21" spans="1:9" s="531" customFormat="1" ht="28.5" customHeight="1">
      <c r="A21" s="1499"/>
      <c r="B21" s="532" t="s">
        <v>83</v>
      </c>
      <c r="C21" s="533" t="s">
        <v>84</v>
      </c>
      <c r="D21" s="533" t="s">
        <v>85</v>
      </c>
      <c r="E21" s="533" t="s">
        <v>86</v>
      </c>
      <c r="F21" s="533" t="s">
        <v>87</v>
      </c>
      <c r="G21" s="534" t="s">
        <v>146</v>
      </c>
      <c r="H21" s="535" t="s">
        <v>147</v>
      </c>
      <c r="I21" s="536" t="s">
        <v>148</v>
      </c>
    </row>
    <row r="22" spans="1:9" s="531" customFormat="1" ht="32.25" customHeight="1">
      <c r="A22" s="1126" t="s">
        <v>32</v>
      </c>
      <c r="B22" s="1116">
        <v>4968</v>
      </c>
      <c r="C22" s="1116">
        <v>5137</v>
      </c>
      <c r="D22" s="1116">
        <v>5329</v>
      </c>
      <c r="E22" s="1116">
        <v>6253</v>
      </c>
      <c r="F22" s="1116">
        <v>6227</v>
      </c>
      <c r="G22" s="1116">
        <v>3208</v>
      </c>
      <c r="H22" s="1118">
        <v>3294</v>
      </c>
      <c r="I22" s="1119">
        <f>SUM(B22:H22)</f>
        <v>34416</v>
      </c>
    </row>
    <row r="23" spans="1:9" s="531" customFormat="1" ht="32.25" customHeight="1">
      <c r="A23" s="1126" t="s">
        <v>33</v>
      </c>
      <c r="B23" s="1128">
        <v>4291</v>
      </c>
      <c r="C23" s="1129">
        <v>4525</v>
      </c>
      <c r="D23" s="1129">
        <v>4455</v>
      </c>
      <c r="E23" s="1129">
        <v>5340</v>
      </c>
      <c r="F23" s="1129">
        <v>5543</v>
      </c>
      <c r="G23" s="1129">
        <v>3177</v>
      </c>
      <c r="H23" s="1130">
        <v>3007</v>
      </c>
      <c r="I23" s="1121">
        <f>SUM(B23:H23)</f>
        <v>30338</v>
      </c>
    </row>
    <row r="24" spans="1:9" s="531" customFormat="1" ht="32.25" customHeight="1">
      <c r="A24" s="1126" t="s">
        <v>34</v>
      </c>
      <c r="B24" s="1117">
        <v>3682</v>
      </c>
      <c r="C24" s="1117">
        <v>3803</v>
      </c>
      <c r="D24" s="1117">
        <v>3936</v>
      </c>
      <c r="E24" s="1117">
        <v>4821</v>
      </c>
      <c r="F24" s="1117">
        <v>5356</v>
      </c>
      <c r="G24" s="1117">
        <v>2714</v>
      </c>
      <c r="H24" s="1120">
        <v>2789</v>
      </c>
      <c r="I24" s="1121">
        <f>SUM(B24:H24)</f>
        <v>27101</v>
      </c>
    </row>
    <row r="25" spans="1:9" s="531" customFormat="1" ht="32.25" customHeight="1">
      <c r="A25" s="1126" t="s">
        <v>47</v>
      </c>
      <c r="B25" s="1128">
        <v>2788</v>
      </c>
      <c r="C25" s="1129">
        <v>2942</v>
      </c>
      <c r="D25" s="1129">
        <v>3136</v>
      </c>
      <c r="E25" s="1129">
        <v>3461</v>
      </c>
      <c r="F25" s="1129">
        <v>3352</v>
      </c>
      <c r="G25" s="1129">
        <v>1909</v>
      </c>
      <c r="H25" s="1130">
        <v>1851</v>
      </c>
      <c r="I25" s="1121">
        <f>SUM(B25:H25)</f>
        <v>19439</v>
      </c>
    </row>
    <row r="26" spans="1:9" s="531" customFormat="1" ht="32.25" customHeight="1">
      <c r="A26" s="1283" t="s">
        <v>466</v>
      </c>
      <c r="B26" s="1117">
        <v>512</v>
      </c>
      <c r="C26" s="1117">
        <v>551</v>
      </c>
      <c r="D26" s="1117">
        <v>667</v>
      </c>
      <c r="E26" s="1117">
        <v>647</v>
      </c>
      <c r="F26" s="1117">
        <v>676</v>
      </c>
      <c r="G26" s="1117">
        <v>255</v>
      </c>
      <c r="H26" s="1120">
        <v>277</v>
      </c>
      <c r="I26" s="1121">
        <f>SUM(B26:H26)</f>
        <v>3585</v>
      </c>
    </row>
    <row r="27" spans="1:9" s="531" customFormat="1" ht="32.25" customHeight="1">
      <c r="A27" s="1127" t="s">
        <v>72</v>
      </c>
      <c r="B27" s="1122">
        <f aca="true" t="shared" si="3" ref="B27:I27">SUM(B22:B26)</f>
        <v>16241</v>
      </c>
      <c r="C27" s="1122">
        <f t="shared" si="3"/>
        <v>16958</v>
      </c>
      <c r="D27" s="1122">
        <f t="shared" si="3"/>
        <v>17523</v>
      </c>
      <c r="E27" s="1122">
        <f t="shared" si="3"/>
        <v>20522</v>
      </c>
      <c r="F27" s="1122">
        <f t="shared" si="3"/>
        <v>21154</v>
      </c>
      <c r="G27" s="1122">
        <f t="shared" si="3"/>
        <v>11263</v>
      </c>
      <c r="H27" s="1123">
        <f t="shared" si="3"/>
        <v>11218</v>
      </c>
      <c r="I27" s="1124">
        <f t="shared" si="3"/>
        <v>114879</v>
      </c>
    </row>
  </sheetData>
  <sheetProtection/>
  <mergeCells count="2">
    <mergeCell ref="A20:A21"/>
    <mergeCell ref="A3:A4"/>
  </mergeCells>
  <printOptions/>
  <pageMargins left="0.7" right="0.27" top="0.5" bottom="0.3" header="0.38" footer="0.25"/>
  <pageSetup horizontalDpi="600" verticalDpi="600" orientation="portrait" paperSize="9" r:id="rId1"/>
  <headerFooter alignWithMargins="0">
    <oddHeader xml:space="preserve">&amp;C&amp;"Times New Roman,Regular" - 21 -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2.00390625" style="540" customWidth="1"/>
    <col min="2" max="2" width="3.28125" style="540" customWidth="1"/>
    <col min="3" max="3" width="7.7109375" style="540" customWidth="1"/>
    <col min="4" max="6" width="7.7109375" style="540" hidden="1" customWidth="1"/>
    <col min="7" max="9" width="8.57421875" style="540" hidden="1" customWidth="1"/>
    <col min="10" max="18" width="8.57421875" style="540" customWidth="1"/>
    <col min="19" max="16384" width="9.140625" style="540" customWidth="1"/>
  </cols>
  <sheetData>
    <row r="1" ht="20.25" customHeight="1">
      <c r="A1" s="1104" t="s">
        <v>339</v>
      </c>
    </row>
    <row r="2" ht="11.25" customHeight="1"/>
    <row r="3" spans="1:18" ht="20.25" customHeight="1">
      <c r="A3" s="1506" t="s">
        <v>96</v>
      </c>
      <c r="B3" s="1507"/>
      <c r="C3" s="1508"/>
      <c r="D3" s="541">
        <v>2005</v>
      </c>
      <c r="E3" s="541"/>
      <c r="F3" s="542"/>
      <c r="G3" s="1500">
        <v>2007</v>
      </c>
      <c r="H3" s="1501"/>
      <c r="I3" s="1502"/>
      <c r="J3" s="1500">
        <v>2008</v>
      </c>
      <c r="K3" s="1501"/>
      <c r="L3" s="1502"/>
      <c r="M3" s="1500">
        <v>2009</v>
      </c>
      <c r="N3" s="1501"/>
      <c r="O3" s="1502"/>
      <c r="P3" s="1500">
        <v>2010</v>
      </c>
      <c r="Q3" s="1501"/>
      <c r="R3" s="1502"/>
    </row>
    <row r="4" spans="1:18" ht="20.25" customHeight="1">
      <c r="A4" s="1509"/>
      <c r="B4" s="1510"/>
      <c r="C4" s="1511"/>
      <c r="D4" s="543" t="s">
        <v>5</v>
      </c>
      <c r="E4" s="544" t="s">
        <v>39</v>
      </c>
      <c r="F4" s="545" t="s">
        <v>40</v>
      </c>
      <c r="G4" s="543" t="s">
        <v>5</v>
      </c>
      <c r="H4" s="544" t="s">
        <v>39</v>
      </c>
      <c r="I4" s="545" t="s">
        <v>40</v>
      </c>
      <c r="J4" s="543" t="s">
        <v>5</v>
      </c>
      <c r="K4" s="544" t="s">
        <v>39</v>
      </c>
      <c r="L4" s="545" t="s">
        <v>40</v>
      </c>
      <c r="M4" s="543" t="s">
        <v>5</v>
      </c>
      <c r="N4" s="544" t="s">
        <v>39</v>
      </c>
      <c r="O4" s="545" t="s">
        <v>40</v>
      </c>
      <c r="P4" s="1105" t="s">
        <v>5</v>
      </c>
      <c r="Q4" s="544" t="s">
        <v>39</v>
      </c>
      <c r="R4" s="545" t="s">
        <v>40</v>
      </c>
    </row>
    <row r="5" spans="1:18" ht="20.25" customHeight="1">
      <c r="A5" s="1503" t="s">
        <v>46</v>
      </c>
      <c r="B5" s="1504"/>
      <c r="C5" s="1504"/>
      <c r="D5" s="1504"/>
      <c r="E5" s="1504"/>
      <c r="F5" s="1504"/>
      <c r="G5" s="1504"/>
      <c r="H5" s="1504"/>
      <c r="I5" s="1504"/>
      <c r="J5" s="1504"/>
      <c r="K5" s="1504"/>
      <c r="L5" s="1504"/>
      <c r="M5" s="1504"/>
      <c r="N5" s="1504"/>
      <c r="O5" s="1504"/>
      <c r="P5" s="1504"/>
      <c r="Q5" s="1504"/>
      <c r="R5" s="1505"/>
    </row>
    <row r="6" spans="1:18" ht="26.25" customHeight="1">
      <c r="A6" s="546" t="s">
        <v>97</v>
      </c>
      <c r="B6" s="547" t="s">
        <v>149</v>
      </c>
      <c r="C6" s="548"/>
      <c r="D6" s="1106">
        <v>17986</v>
      </c>
      <c r="E6" s="1106">
        <f aca="true" t="shared" si="0" ref="E6:E12">D6-F6</f>
        <v>8686</v>
      </c>
      <c r="F6" s="1107">
        <v>9300</v>
      </c>
      <c r="G6" s="1106">
        <v>18328</v>
      </c>
      <c r="H6" s="1106">
        <f aca="true" t="shared" si="1" ref="H6:H12">G6-I6</f>
        <v>8806</v>
      </c>
      <c r="I6" s="1107">
        <v>9522</v>
      </c>
      <c r="J6" s="549">
        <v>17028</v>
      </c>
      <c r="K6" s="549">
        <f aca="true" t="shared" si="2" ref="K6:K12">J6-L6</f>
        <v>8169</v>
      </c>
      <c r="L6" s="550">
        <v>8859</v>
      </c>
      <c r="M6" s="549">
        <v>16809</v>
      </c>
      <c r="N6" s="549">
        <f aca="true" t="shared" si="3" ref="N6:N12">M6-O6</f>
        <v>8197</v>
      </c>
      <c r="O6" s="1131">
        <v>8612</v>
      </c>
      <c r="P6" s="1132">
        <v>16241</v>
      </c>
      <c r="Q6" s="549">
        <f aca="true" t="shared" si="4" ref="Q6:Q12">P6-R6</f>
        <v>7894</v>
      </c>
      <c r="R6" s="550">
        <v>8347</v>
      </c>
    </row>
    <row r="7" spans="1:18" ht="26.25" customHeight="1">
      <c r="A7" s="551"/>
      <c r="B7" s="552" t="s">
        <v>150</v>
      </c>
      <c r="C7" s="553"/>
      <c r="D7" s="1108">
        <v>18554</v>
      </c>
      <c r="E7" s="1108">
        <f t="shared" si="0"/>
        <v>8873</v>
      </c>
      <c r="F7" s="1109">
        <v>9681</v>
      </c>
      <c r="G7" s="1108">
        <v>18759</v>
      </c>
      <c r="H7" s="1108">
        <f t="shared" si="1"/>
        <v>9074</v>
      </c>
      <c r="I7" s="1109">
        <v>9685</v>
      </c>
      <c r="J7" s="554">
        <v>18269</v>
      </c>
      <c r="K7" s="554">
        <f t="shared" si="2"/>
        <v>8740</v>
      </c>
      <c r="L7" s="555">
        <v>9529</v>
      </c>
      <c r="M7" s="554">
        <v>17246</v>
      </c>
      <c r="N7" s="554">
        <f t="shared" si="3"/>
        <v>8210</v>
      </c>
      <c r="O7" s="1133">
        <v>9036</v>
      </c>
      <c r="P7" s="554">
        <v>16958</v>
      </c>
      <c r="Q7" s="554">
        <f t="shared" si="4"/>
        <v>8150</v>
      </c>
      <c r="R7" s="1134">
        <v>8808</v>
      </c>
    </row>
    <row r="8" spans="1:18" ht="26.25" customHeight="1">
      <c r="A8" s="551"/>
      <c r="B8" s="552" t="s">
        <v>85</v>
      </c>
      <c r="C8" s="553"/>
      <c r="D8" s="1108">
        <v>18993</v>
      </c>
      <c r="E8" s="1108">
        <f t="shared" si="0"/>
        <v>9206</v>
      </c>
      <c r="F8" s="1109">
        <v>9787</v>
      </c>
      <c r="G8" s="1108">
        <v>18372</v>
      </c>
      <c r="H8" s="1108">
        <f t="shared" si="1"/>
        <v>8959</v>
      </c>
      <c r="I8" s="1109">
        <v>9413</v>
      </c>
      <c r="J8" s="554">
        <v>18792</v>
      </c>
      <c r="K8" s="554">
        <f t="shared" si="2"/>
        <v>9092</v>
      </c>
      <c r="L8" s="555">
        <v>9700</v>
      </c>
      <c r="M8" s="554">
        <v>18632</v>
      </c>
      <c r="N8" s="554">
        <f t="shared" si="3"/>
        <v>8980</v>
      </c>
      <c r="O8" s="1133">
        <v>9652</v>
      </c>
      <c r="P8" s="554">
        <v>17523</v>
      </c>
      <c r="Q8" s="554">
        <f t="shared" si="4"/>
        <v>8382</v>
      </c>
      <c r="R8" s="1134">
        <v>9141</v>
      </c>
    </row>
    <row r="9" spans="1:18" ht="26.25" customHeight="1">
      <c r="A9" s="551"/>
      <c r="B9" s="552" t="s">
        <v>86</v>
      </c>
      <c r="C9" s="553"/>
      <c r="D9" s="1108">
        <v>18851</v>
      </c>
      <c r="E9" s="1108">
        <f t="shared" si="0"/>
        <v>9089</v>
      </c>
      <c r="F9" s="1109">
        <v>9762</v>
      </c>
      <c r="G9" s="1108">
        <v>20192</v>
      </c>
      <c r="H9" s="1108">
        <f t="shared" si="1"/>
        <v>9655</v>
      </c>
      <c r="I9" s="1109">
        <v>10537</v>
      </c>
      <c r="J9" s="554">
        <v>19932</v>
      </c>
      <c r="K9" s="554">
        <f t="shared" si="2"/>
        <v>9794</v>
      </c>
      <c r="L9" s="555">
        <v>10138</v>
      </c>
      <c r="M9" s="554">
        <v>20355</v>
      </c>
      <c r="N9" s="554">
        <f t="shared" si="3"/>
        <v>9968</v>
      </c>
      <c r="O9" s="1133">
        <v>10387</v>
      </c>
      <c r="P9" s="554">
        <v>20522</v>
      </c>
      <c r="Q9" s="554">
        <f t="shared" si="4"/>
        <v>9955</v>
      </c>
      <c r="R9" s="1134">
        <v>10567</v>
      </c>
    </row>
    <row r="10" spans="1:18" ht="26.25" customHeight="1">
      <c r="A10" s="551"/>
      <c r="B10" s="552" t="s">
        <v>151</v>
      </c>
      <c r="C10" s="553"/>
      <c r="D10" s="1108">
        <v>18725</v>
      </c>
      <c r="E10" s="1108">
        <f t="shared" si="0"/>
        <v>9068</v>
      </c>
      <c r="F10" s="1109">
        <v>9657</v>
      </c>
      <c r="G10" s="1108">
        <v>20996</v>
      </c>
      <c r="H10" s="1108">
        <f t="shared" si="1"/>
        <v>10209</v>
      </c>
      <c r="I10" s="1109">
        <v>10787</v>
      </c>
      <c r="J10" s="554">
        <v>21267</v>
      </c>
      <c r="K10" s="554">
        <f t="shared" si="2"/>
        <v>10386</v>
      </c>
      <c r="L10" s="555">
        <v>10881</v>
      </c>
      <c r="M10" s="554">
        <v>21080</v>
      </c>
      <c r="N10" s="554">
        <f t="shared" si="3"/>
        <v>10151</v>
      </c>
      <c r="O10" s="1133">
        <v>10929</v>
      </c>
      <c r="P10" s="554">
        <v>21154</v>
      </c>
      <c r="Q10" s="554">
        <f t="shared" si="4"/>
        <v>10397</v>
      </c>
      <c r="R10" s="1134">
        <v>10757</v>
      </c>
    </row>
    <row r="11" spans="1:18" ht="26.25" customHeight="1">
      <c r="A11" s="551"/>
      <c r="B11" s="552" t="s">
        <v>88</v>
      </c>
      <c r="C11" s="556" t="s">
        <v>152</v>
      </c>
      <c r="D11" s="1108">
        <v>8795</v>
      </c>
      <c r="E11" s="1108">
        <f t="shared" si="0"/>
        <v>4072</v>
      </c>
      <c r="F11" s="1109">
        <v>4723</v>
      </c>
      <c r="G11" s="1108">
        <v>10166</v>
      </c>
      <c r="H11" s="1108">
        <f t="shared" si="1"/>
        <v>4709</v>
      </c>
      <c r="I11" s="1109">
        <v>5457</v>
      </c>
      <c r="J11" s="554">
        <v>10833</v>
      </c>
      <c r="K11" s="554">
        <f t="shared" si="2"/>
        <v>4847</v>
      </c>
      <c r="L11" s="555">
        <v>5986</v>
      </c>
      <c r="M11" s="554">
        <v>11135</v>
      </c>
      <c r="N11" s="554">
        <f t="shared" si="3"/>
        <v>4904</v>
      </c>
      <c r="O11" s="1133">
        <v>6231</v>
      </c>
      <c r="P11" s="554">
        <v>11263</v>
      </c>
      <c r="Q11" s="554">
        <f t="shared" si="4"/>
        <v>4994</v>
      </c>
      <c r="R11" s="1134">
        <v>6269</v>
      </c>
    </row>
    <row r="12" spans="1:18" ht="26.25" customHeight="1">
      <c r="A12" s="557"/>
      <c r="B12" s="552" t="s">
        <v>153</v>
      </c>
      <c r="C12" s="558" t="s">
        <v>154</v>
      </c>
      <c r="D12" s="1108">
        <v>8383</v>
      </c>
      <c r="E12" s="1108">
        <f t="shared" si="0"/>
        <v>3994</v>
      </c>
      <c r="F12" s="1109">
        <v>4389</v>
      </c>
      <c r="G12" s="1108">
        <v>9893</v>
      </c>
      <c r="H12" s="1108">
        <f t="shared" si="1"/>
        <v>4685</v>
      </c>
      <c r="I12" s="1109">
        <v>5208</v>
      </c>
      <c r="J12" s="554">
        <v>10382</v>
      </c>
      <c r="K12" s="554">
        <f t="shared" si="2"/>
        <v>4845</v>
      </c>
      <c r="L12" s="555">
        <v>5537</v>
      </c>
      <c r="M12" s="554">
        <v>10969</v>
      </c>
      <c r="N12" s="554">
        <f t="shared" si="3"/>
        <v>4979</v>
      </c>
      <c r="O12" s="1133">
        <v>5990</v>
      </c>
      <c r="P12" s="554">
        <v>11218</v>
      </c>
      <c r="Q12" s="554">
        <f t="shared" si="4"/>
        <v>5011</v>
      </c>
      <c r="R12" s="555">
        <v>6207</v>
      </c>
    </row>
    <row r="13" spans="1:18" ht="26.25" customHeight="1">
      <c r="A13" s="1263"/>
      <c r="B13" s="1135" t="s">
        <v>5</v>
      </c>
      <c r="C13" s="1135"/>
      <c r="D13" s="1110">
        <f aca="true" t="shared" si="5" ref="D13:O13">SUM(D6:D12)</f>
        <v>110287</v>
      </c>
      <c r="E13" s="1111">
        <f t="shared" si="5"/>
        <v>52988</v>
      </c>
      <c r="F13" s="1112">
        <f t="shared" si="5"/>
        <v>57299</v>
      </c>
      <c r="G13" s="1110">
        <f aca="true" t="shared" si="6" ref="G13:L13">SUM(G6:G12)</f>
        <v>116706</v>
      </c>
      <c r="H13" s="1111">
        <f t="shared" si="6"/>
        <v>56097</v>
      </c>
      <c r="I13" s="1112">
        <f t="shared" si="6"/>
        <v>60609</v>
      </c>
      <c r="J13" s="1262">
        <f t="shared" si="6"/>
        <v>116503</v>
      </c>
      <c r="K13" s="562">
        <f t="shared" si="6"/>
        <v>55873</v>
      </c>
      <c r="L13" s="563">
        <f t="shared" si="6"/>
        <v>60630</v>
      </c>
      <c r="M13" s="561">
        <f t="shared" si="5"/>
        <v>116226</v>
      </c>
      <c r="N13" s="562">
        <f t="shared" si="5"/>
        <v>55389</v>
      </c>
      <c r="O13" s="563">
        <f t="shared" si="5"/>
        <v>60837</v>
      </c>
      <c r="P13" s="561">
        <f>SUM(P6:P12)</f>
        <v>114879</v>
      </c>
      <c r="Q13" s="562">
        <f>SUM(Q6:Q12)</f>
        <v>54783</v>
      </c>
      <c r="R13" s="563">
        <f>SUM(R6:R12)</f>
        <v>60096</v>
      </c>
    </row>
    <row r="14" spans="1:18" ht="26.25" customHeight="1">
      <c r="A14" s="1503" t="s">
        <v>44</v>
      </c>
      <c r="B14" s="1504"/>
      <c r="C14" s="1504"/>
      <c r="D14" s="1504"/>
      <c r="E14" s="1504"/>
      <c r="F14" s="1504"/>
      <c r="G14" s="1504"/>
      <c r="H14" s="1504"/>
      <c r="I14" s="1504"/>
      <c r="J14" s="1504"/>
      <c r="K14" s="1504"/>
      <c r="L14" s="1504"/>
      <c r="M14" s="1504"/>
      <c r="N14" s="1504"/>
      <c r="O14" s="1504"/>
      <c r="P14" s="1504"/>
      <c r="Q14" s="1504"/>
      <c r="R14" s="1505"/>
    </row>
    <row r="15" spans="1:18" ht="26.25" customHeight="1">
      <c r="A15" s="546" t="s">
        <v>97</v>
      </c>
      <c r="B15" s="547" t="s">
        <v>149</v>
      </c>
      <c r="C15" s="548"/>
      <c r="D15" s="1106">
        <v>17415</v>
      </c>
      <c r="E15" s="1106">
        <f>D15-F15</f>
        <v>8387</v>
      </c>
      <c r="F15" s="1109">
        <v>9028</v>
      </c>
      <c r="G15" s="1106">
        <v>17683</v>
      </c>
      <c r="H15" s="1106">
        <f aca="true" t="shared" si="7" ref="H15:H21">G15-I15</f>
        <v>8522</v>
      </c>
      <c r="I15" s="1109">
        <v>9161</v>
      </c>
      <c r="J15" s="554">
        <v>16503</v>
      </c>
      <c r="K15" s="554">
        <f aca="true" t="shared" si="8" ref="K15:K21">J15-L15</f>
        <v>7930</v>
      </c>
      <c r="L15" s="555">
        <v>8573</v>
      </c>
      <c r="M15" s="554">
        <v>16272</v>
      </c>
      <c r="N15" s="554">
        <f aca="true" t="shared" si="9" ref="N15:N21">M15-O15</f>
        <v>7923</v>
      </c>
      <c r="O15" s="555">
        <v>8349</v>
      </c>
      <c r="P15" s="554">
        <v>15729</v>
      </c>
      <c r="Q15" s="554">
        <f aca="true" t="shared" si="10" ref="Q15:Q21">P15-R15</f>
        <v>7641</v>
      </c>
      <c r="R15" s="555">
        <v>8088</v>
      </c>
    </row>
    <row r="16" spans="1:18" ht="26.25" customHeight="1">
      <c r="A16" s="551"/>
      <c r="B16" s="552" t="s">
        <v>150</v>
      </c>
      <c r="C16" s="553"/>
      <c r="D16" s="1108">
        <v>17921</v>
      </c>
      <c r="E16" s="1113">
        <f aca="true" t="shared" si="11" ref="E16:E21">D16-F16</f>
        <v>8596</v>
      </c>
      <c r="F16" s="1109">
        <v>9325</v>
      </c>
      <c r="G16" s="1108">
        <v>18061</v>
      </c>
      <c r="H16" s="1113">
        <f t="shared" si="7"/>
        <v>8728</v>
      </c>
      <c r="I16" s="1109">
        <v>9333</v>
      </c>
      <c r="J16" s="554">
        <v>17616</v>
      </c>
      <c r="K16" s="564">
        <f t="shared" si="8"/>
        <v>8460</v>
      </c>
      <c r="L16" s="555">
        <v>9156</v>
      </c>
      <c r="M16" s="554">
        <v>16677</v>
      </c>
      <c r="N16" s="564">
        <f t="shared" si="9"/>
        <v>7954</v>
      </c>
      <c r="O16" s="555">
        <v>8723</v>
      </c>
      <c r="P16" s="554">
        <v>16407</v>
      </c>
      <c r="Q16" s="564">
        <f t="shared" si="10"/>
        <v>7867</v>
      </c>
      <c r="R16" s="555">
        <v>8540</v>
      </c>
    </row>
    <row r="17" spans="1:18" ht="26.25" customHeight="1">
      <c r="A17" s="551"/>
      <c r="B17" s="552" t="s">
        <v>85</v>
      </c>
      <c r="C17" s="553"/>
      <c r="D17" s="1108">
        <v>18309</v>
      </c>
      <c r="E17" s="1108">
        <f t="shared" si="11"/>
        <v>8889</v>
      </c>
      <c r="F17" s="1109">
        <v>9420</v>
      </c>
      <c r="G17" s="1108">
        <v>17737</v>
      </c>
      <c r="H17" s="1108">
        <f t="shared" si="7"/>
        <v>8652</v>
      </c>
      <c r="I17" s="1109">
        <v>9085</v>
      </c>
      <c r="J17" s="554">
        <v>18107</v>
      </c>
      <c r="K17" s="554">
        <f t="shared" si="8"/>
        <v>8740</v>
      </c>
      <c r="L17" s="555">
        <v>9367</v>
      </c>
      <c r="M17" s="554">
        <v>17924</v>
      </c>
      <c r="N17" s="554">
        <f t="shared" si="9"/>
        <v>8651</v>
      </c>
      <c r="O17" s="555">
        <v>9273</v>
      </c>
      <c r="P17" s="554">
        <v>16856</v>
      </c>
      <c r="Q17" s="554">
        <f t="shared" si="10"/>
        <v>8087</v>
      </c>
      <c r="R17" s="555">
        <v>8769</v>
      </c>
    </row>
    <row r="18" spans="1:18" ht="26.25" customHeight="1">
      <c r="A18" s="551"/>
      <c r="B18" s="552" t="s">
        <v>86</v>
      </c>
      <c r="C18" s="553"/>
      <c r="D18" s="1108">
        <v>18239</v>
      </c>
      <c r="E18" s="1113">
        <f t="shared" si="11"/>
        <v>8807</v>
      </c>
      <c r="F18" s="1109">
        <v>9432</v>
      </c>
      <c r="G18" s="1108">
        <v>19532</v>
      </c>
      <c r="H18" s="1113">
        <f t="shared" si="7"/>
        <v>9369</v>
      </c>
      <c r="I18" s="1109">
        <v>10163</v>
      </c>
      <c r="J18" s="554">
        <v>19343</v>
      </c>
      <c r="K18" s="564">
        <f t="shared" si="8"/>
        <v>9528</v>
      </c>
      <c r="L18" s="555">
        <v>9815</v>
      </c>
      <c r="M18" s="554">
        <v>19677</v>
      </c>
      <c r="N18" s="564">
        <f t="shared" si="9"/>
        <v>9636</v>
      </c>
      <c r="O18" s="555">
        <v>10041</v>
      </c>
      <c r="P18" s="554">
        <v>19875</v>
      </c>
      <c r="Q18" s="564">
        <f t="shared" si="10"/>
        <v>9660</v>
      </c>
      <c r="R18" s="555">
        <v>10215</v>
      </c>
    </row>
    <row r="19" spans="1:18" ht="26.25" customHeight="1">
      <c r="A19" s="551"/>
      <c r="B19" s="552" t="s">
        <v>151</v>
      </c>
      <c r="C19" s="553"/>
      <c r="D19" s="1108">
        <v>18091</v>
      </c>
      <c r="E19" s="1108">
        <f t="shared" si="11"/>
        <v>8773</v>
      </c>
      <c r="F19" s="1109">
        <v>9318</v>
      </c>
      <c r="G19" s="1108">
        <v>20344</v>
      </c>
      <c r="H19" s="1108">
        <f t="shared" si="7"/>
        <v>9913</v>
      </c>
      <c r="I19" s="1109">
        <v>10431</v>
      </c>
      <c r="J19" s="554">
        <v>20682</v>
      </c>
      <c r="K19" s="554">
        <f t="shared" si="8"/>
        <v>10127</v>
      </c>
      <c r="L19" s="555">
        <v>10555</v>
      </c>
      <c r="M19" s="554">
        <v>20424</v>
      </c>
      <c r="N19" s="554">
        <f t="shared" si="9"/>
        <v>9871</v>
      </c>
      <c r="O19" s="555">
        <v>10553</v>
      </c>
      <c r="P19" s="554">
        <v>20478</v>
      </c>
      <c r="Q19" s="554">
        <f t="shared" si="10"/>
        <v>10092</v>
      </c>
      <c r="R19" s="555">
        <v>10386</v>
      </c>
    </row>
    <row r="20" spans="1:18" ht="26.25" customHeight="1">
      <c r="A20" s="551"/>
      <c r="B20" s="552" t="s">
        <v>88</v>
      </c>
      <c r="C20" s="556" t="s">
        <v>152</v>
      </c>
      <c r="D20" s="1108">
        <v>8623</v>
      </c>
      <c r="E20" s="1113">
        <f t="shared" si="11"/>
        <v>3998</v>
      </c>
      <c r="F20" s="1109">
        <v>4625</v>
      </c>
      <c r="G20" s="1108">
        <v>9960</v>
      </c>
      <c r="H20" s="1113">
        <f t="shared" si="7"/>
        <v>4615</v>
      </c>
      <c r="I20" s="1109">
        <v>5345</v>
      </c>
      <c r="J20" s="554">
        <v>10612</v>
      </c>
      <c r="K20" s="564">
        <f t="shared" si="8"/>
        <v>4751</v>
      </c>
      <c r="L20" s="555">
        <v>5861</v>
      </c>
      <c r="M20" s="554">
        <v>10905</v>
      </c>
      <c r="N20" s="564">
        <f t="shared" si="9"/>
        <v>4803</v>
      </c>
      <c r="O20" s="555">
        <v>6102</v>
      </c>
      <c r="P20" s="554">
        <v>11008</v>
      </c>
      <c r="Q20" s="564">
        <f t="shared" si="10"/>
        <v>4890</v>
      </c>
      <c r="R20" s="555">
        <v>6118</v>
      </c>
    </row>
    <row r="21" spans="1:18" ht="26.25" customHeight="1">
      <c r="A21" s="557"/>
      <c r="B21" s="552" t="s">
        <v>153</v>
      </c>
      <c r="C21" s="558" t="s">
        <v>154</v>
      </c>
      <c r="D21" s="1108">
        <v>8207</v>
      </c>
      <c r="E21" s="1108">
        <f t="shared" si="11"/>
        <v>3913</v>
      </c>
      <c r="F21" s="1109">
        <v>4294</v>
      </c>
      <c r="G21" s="1108">
        <v>9664</v>
      </c>
      <c r="H21" s="1108">
        <f t="shared" si="7"/>
        <v>4585</v>
      </c>
      <c r="I21" s="1109">
        <v>5079</v>
      </c>
      <c r="J21" s="554">
        <v>10132</v>
      </c>
      <c r="K21" s="554">
        <f t="shared" si="8"/>
        <v>4729</v>
      </c>
      <c r="L21" s="555">
        <v>5403</v>
      </c>
      <c r="M21" s="554">
        <v>10693</v>
      </c>
      <c r="N21" s="554">
        <f t="shared" si="9"/>
        <v>4858</v>
      </c>
      <c r="O21" s="555">
        <v>5835</v>
      </c>
      <c r="P21" s="554">
        <v>10941</v>
      </c>
      <c r="Q21" s="554">
        <f t="shared" si="10"/>
        <v>4889</v>
      </c>
      <c r="R21" s="555">
        <v>6052</v>
      </c>
    </row>
    <row r="22" spans="1:18" ht="26.25" customHeight="1">
      <c r="A22" s="1264"/>
      <c r="B22" s="586" t="s">
        <v>5</v>
      </c>
      <c r="C22" s="586"/>
      <c r="D22" s="1114">
        <f aca="true" t="shared" si="12" ref="D22:O22">SUM(D15:D21)</f>
        <v>106805</v>
      </c>
      <c r="E22" s="1111">
        <f t="shared" si="12"/>
        <v>51363</v>
      </c>
      <c r="F22" s="1112">
        <f t="shared" si="12"/>
        <v>55442</v>
      </c>
      <c r="G22" s="1110">
        <f aca="true" t="shared" si="13" ref="G22:L22">SUM(G15:G21)</f>
        <v>112981</v>
      </c>
      <c r="H22" s="1110">
        <f t="shared" si="13"/>
        <v>54384</v>
      </c>
      <c r="I22" s="1115">
        <f t="shared" si="13"/>
        <v>58597</v>
      </c>
      <c r="J22" s="1262">
        <f t="shared" si="13"/>
        <v>112995</v>
      </c>
      <c r="K22" s="561">
        <f t="shared" si="13"/>
        <v>54265</v>
      </c>
      <c r="L22" s="566">
        <f t="shared" si="13"/>
        <v>58730</v>
      </c>
      <c r="M22" s="561">
        <f t="shared" si="12"/>
        <v>112572</v>
      </c>
      <c r="N22" s="561">
        <f t="shared" si="12"/>
        <v>53696</v>
      </c>
      <c r="O22" s="566">
        <f t="shared" si="12"/>
        <v>58876</v>
      </c>
      <c r="P22" s="561">
        <f>SUM(P15:P21)</f>
        <v>111294</v>
      </c>
      <c r="Q22" s="561">
        <f>SUM(Q15:Q21)</f>
        <v>53126</v>
      </c>
      <c r="R22" s="566">
        <f>SUM(R15:R21)</f>
        <v>58168</v>
      </c>
    </row>
    <row r="23" spans="1:18" ht="26.25" customHeight="1">
      <c r="A23" s="1503" t="s">
        <v>45</v>
      </c>
      <c r="B23" s="1504"/>
      <c r="C23" s="1504"/>
      <c r="D23" s="1504"/>
      <c r="E23" s="1504"/>
      <c r="F23" s="1504"/>
      <c r="G23" s="1504"/>
      <c r="H23" s="1504"/>
      <c r="I23" s="1504"/>
      <c r="J23" s="1504"/>
      <c r="K23" s="1504"/>
      <c r="L23" s="1504"/>
      <c r="M23" s="1504"/>
      <c r="N23" s="1504"/>
      <c r="O23" s="1504"/>
      <c r="P23" s="1504"/>
      <c r="Q23" s="1504"/>
      <c r="R23" s="1505"/>
    </row>
    <row r="24" spans="1:18" ht="26.25" customHeight="1">
      <c r="A24" s="546" t="s">
        <v>97</v>
      </c>
      <c r="B24" s="547" t="s">
        <v>149</v>
      </c>
      <c r="C24" s="548"/>
      <c r="D24" s="567">
        <f aca="true" t="shared" si="14" ref="D24:G30">D6-D15</f>
        <v>571</v>
      </c>
      <c r="E24" s="568">
        <f t="shared" si="14"/>
        <v>299</v>
      </c>
      <c r="F24" s="569">
        <f t="shared" si="14"/>
        <v>272</v>
      </c>
      <c r="G24" s="549">
        <f t="shared" si="14"/>
        <v>645</v>
      </c>
      <c r="H24" s="554">
        <f aca="true" t="shared" si="15" ref="H24:H30">G24-I24</f>
        <v>284</v>
      </c>
      <c r="I24" s="550">
        <f aca="true" t="shared" si="16" ref="I24:J30">I6-I15</f>
        <v>361</v>
      </c>
      <c r="J24" s="554">
        <f t="shared" si="16"/>
        <v>525</v>
      </c>
      <c r="K24" s="554">
        <f aca="true" t="shared" si="17" ref="K24:K30">J24-L24</f>
        <v>239</v>
      </c>
      <c r="L24" s="555">
        <f aca="true" t="shared" si="18" ref="L24:L30">L6-L15</f>
        <v>286</v>
      </c>
      <c r="M24" s="554">
        <f aca="true" t="shared" si="19" ref="M24:M30">M6-M15</f>
        <v>537</v>
      </c>
      <c r="N24" s="554">
        <f aca="true" t="shared" si="20" ref="N24:N30">M24-O24</f>
        <v>274</v>
      </c>
      <c r="O24" s="555">
        <f aca="true" t="shared" si="21" ref="O24:P30">O6-O15</f>
        <v>263</v>
      </c>
      <c r="P24" s="554">
        <f t="shared" si="21"/>
        <v>512</v>
      </c>
      <c r="Q24" s="554">
        <f aca="true" t="shared" si="22" ref="Q24:Q30">P24-R24</f>
        <v>253</v>
      </c>
      <c r="R24" s="555">
        <f aca="true" t="shared" si="23" ref="R24:R30">R6-R15</f>
        <v>259</v>
      </c>
    </row>
    <row r="25" spans="1:18" ht="26.25" customHeight="1">
      <c r="A25" s="551"/>
      <c r="B25" s="552" t="s">
        <v>150</v>
      </c>
      <c r="C25" s="553"/>
      <c r="D25" s="570">
        <f t="shared" si="14"/>
        <v>633</v>
      </c>
      <c r="E25" s="564">
        <f t="shared" si="14"/>
        <v>277</v>
      </c>
      <c r="F25" s="571">
        <f t="shared" si="14"/>
        <v>356</v>
      </c>
      <c r="G25" s="554">
        <f t="shared" si="14"/>
        <v>698</v>
      </c>
      <c r="H25" s="554">
        <f t="shared" si="15"/>
        <v>346</v>
      </c>
      <c r="I25" s="555">
        <f t="shared" si="16"/>
        <v>352</v>
      </c>
      <c r="J25" s="554">
        <f t="shared" si="16"/>
        <v>653</v>
      </c>
      <c r="K25" s="554">
        <f t="shared" si="17"/>
        <v>280</v>
      </c>
      <c r="L25" s="555">
        <f t="shared" si="18"/>
        <v>373</v>
      </c>
      <c r="M25" s="554">
        <f t="shared" si="19"/>
        <v>569</v>
      </c>
      <c r="N25" s="554">
        <f t="shared" si="20"/>
        <v>256</v>
      </c>
      <c r="O25" s="555">
        <f t="shared" si="21"/>
        <v>313</v>
      </c>
      <c r="P25" s="554">
        <f t="shared" si="21"/>
        <v>551</v>
      </c>
      <c r="Q25" s="554">
        <f t="shared" si="22"/>
        <v>283</v>
      </c>
      <c r="R25" s="555">
        <f t="shared" si="23"/>
        <v>268</v>
      </c>
    </row>
    <row r="26" spans="1:18" ht="26.25" customHeight="1">
      <c r="A26" s="551"/>
      <c r="B26" s="552" t="s">
        <v>85</v>
      </c>
      <c r="C26" s="553"/>
      <c r="D26" s="570">
        <f t="shared" si="14"/>
        <v>684</v>
      </c>
      <c r="E26" s="564">
        <f t="shared" si="14"/>
        <v>317</v>
      </c>
      <c r="F26" s="571">
        <f t="shared" si="14"/>
        <v>367</v>
      </c>
      <c r="G26" s="554">
        <f t="shared" si="14"/>
        <v>635</v>
      </c>
      <c r="H26" s="554">
        <f t="shared" si="15"/>
        <v>307</v>
      </c>
      <c r="I26" s="555">
        <f t="shared" si="16"/>
        <v>328</v>
      </c>
      <c r="J26" s="554">
        <f t="shared" si="16"/>
        <v>685</v>
      </c>
      <c r="K26" s="554">
        <f t="shared" si="17"/>
        <v>352</v>
      </c>
      <c r="L26" s="555">
        <f t="shared" si="18"/>
        <v>333</v>
      </c>
      <c r="M26" s="554">
        <f t="shared" si="19"/>
        <v>708</v>
      </c>
      <c r="N26" s="554">
        <f t="shared" si="20"/>
        <v>329</v>
      </c>
      <c r="O26" s="555">
        <f t="shared" si="21"/>
        <v>379</v>
      </c>
      <c r="P26" s="554">
        <f t="shared" si="21"/>
        <v>667</v>
      </c>
      <c r="Q26" s="554">
        <f t="shared" si="22"/>
        <v>295</v>
      </c>
      <c r="R26" s="555">
        <f t="shared" si="23"/>
        <v>372</v>
      </c>
    </row>
    <row r="27" spans="1:18" ht="26.25" customHeight="1">
      <c r="A27" s="551"/>
      <c r="B27" s="552" t="s">
        <v>86</v>
      </c>
      <c r="C27" s="553"/>
      <c r="D27" s="570">
        <f t="shared" si="14"/>
        <v>612</v>
      </c>
      <c r="E27" s="564">
        <f t="shared" si="14"/>
        <v>282</v>
      </c>
      <c r="F27" s="571">
        <f t="shared" si="14"/>
        <v>330</v>
      </c>
      <c r="G27" s="554">
        <f t="shared" si="14"/>
        <v>660</v>
      </c>
      <c r="H27" s="554">
        <f t="shared" si="15"/>
        <v>286</v>
      </c>
      <c r="I27" s="555">
        <f t="shared" si="16"/>
        <v>374</v>
      </c>
      <c r="J27" s="554">
        <f t="shared" si="16"/>
        <v>589</v>
      </c>
      <c r="K27" s="554">
        <f t="shared" si="17"/>
        <v>266</v>
      </c>
      <c r="L27" s="555">
        <f t="shared" si="18"/>
        <v>323</v>
      </c>
      <c r="M27" s="554">
        <f t="shared" si="19"/>
        <v>678</v>
      </c>
      <c r="N27" s="554">
        <f t="shared" si="20"/>
        <v>332</v>
      </c>
      <c r="O27" s="555">
        <f t="shared" si="21"/>
        <v>346</v>
      </c>
      <c r="P27" s="554">
        <f t="shared" si="21"/>
        <v>647</v>
      </c>
      <c r="Q27" s="554">
        <f t="shared" si="22"/>
        <v>295</v>
      </c>
      <c r="R27" s="555">
        <f t="shared" si="23"/>
        <v>352</v>
      </c>
    </row>
    <row r="28" spans="1:18" ht="26.25" customHeight="1">
      <c r="A28" s="551"/>
      <c r="B28" s="552" t="s">
        <v>151</v>
      </c>
      <c r="C28" s="553"/>
      <c r="D28" s="570">
        <f t="shared" si="14"/>
        <v>634</v>
      </c>
      <c r="E28" s="564">
        <f t="shared" si="14"/>
        <v>295</v>
      </c>
      <c r="F28" s="571">
        <f t="shared" si="14"/>
        <v>339</v>
      </c>
      <c r="G28" s="554">
        <f t="shared" si="14"/>
        <v>652</v>
      </c>
      <c r="H28" s="554">
        <f t="shared" si="15"/>
        <v>296</v>
      </c>
      <c r="I28" s="555">
        <f t="shared" si="16"/>
        <v>356</v>
      </c>
      <c r="J28" s="554">
        <f t="shared" si="16"/>
        <v>585</v>
      </c>
      <c r="K28" s="554">
        <f t="shared" si="17"/>
        <v>259</v>
      </c>
      <c r="L28" s="555">
        <f t="shared" si="18"/>
        <v>326</v>
      </c>
      <c r="M28" s="554">
        <f t="shared" si="19"/>
        <v>656</v>
      </c>
      <c r="N28" s="554">
        <f t="shared" si="20"/>
        <v>280</v>
      </c>
      <c r="O28" s="555">
        <f t="shared" si="21"/>
        <v>376</v>
      </c>
      <c r="P28" s="554">
        <f t="shared" si="21"/>
        <v>676</v>
      </c>
      <c r="Q28" s="554">
        <f t="shared" si="22"/>
        <v>305</v>
      </c>
      <c r="R28" s="555">
        <f t="shared" si="23"/>
        <v>371</v>
      </c>
    </row>
    <row r="29" spans="1:18" ht="26.25" customHeight="1">
      <c r="A29" s="551"/>
      <c r="B29" s="552" t="s">
        <v>88</v>
      </c>
      <c r="C29" s="556" t="s">
        <v>152</v>
      </c>
      <c r="D29" s="570">
        <f t="shared" si="14"/>
        <v>172</v>
      </c>
      <c r="E29" s="564">
        <f t="shared" si="14"/>
        <v>74</v>
      </c>
      <c r="F29" s="571">
        <f t="shared" si="14"/>
        <v>98</v>
      </c>
      <c r="G29" s="554">
        <f t="shared" si="14"/>
        <v>206</v>
      </c>
      <c r="H29" s="554">
        <f t="shared" si="15"/>
        <v>94</v>
      </c>
      <c r="I29" s="555">
        <f t="shared" si="16"/>
        <v>112</v>
      </c>
      <c r="J29" s="554">
        <f t="shared" si="16"/>
        <v>221</v>
      </c>
      <c r="K29" s="554">
        <f t="shared" si="17"/>
        <v>96</v>
      </c>
      <c r="L29" s="555">
        <f t="shared" si="18"/>
        <v>125</v>
      </c>
      <c r="M29" s="554">
        <f t="shared" si="19"/>
        <v>230</v>
      </c>
      <c r="N29" s="554">
        <f t="shared" si="20"/>
        <v>101</v>
      </c>
      <c r="O29" s="555">
        <f t="shared" si="21"/>
        <v>129</v>
      </c>
      <c r="P29" s="554">
        <f t="shared" si="21"/>
        <v>255</v>
      </c>
      <c r="Q29" s="554">
        <f t="shared" si="22"/>
        <v>104</v>
      </c>
      <c r="R29" s="555">
        <f t="shared" si="23"/>
        <v>151</v>
      </c>
    </row>
    <row r="30" spans="1:18" ht="26.25" customHeight="1">
      <c r="A30" s="557"/>
      <c r="B30" s="552" t="s">
        <v>153</v>
      </c>
      <c r="C30" s="556" t="s">
        <v>154</v>
      </c>
      <c r="D30" s="570">
        <f t="shared" si="14"/>
        <v>176</v>
      </c>
      <c r="E30" s="564">
        <f t="shared" si="14"/>
        <v>81</v>
      </c>
      <c r="F30" s="571">
        <f t="shared" si="14"/>
        <v>95</v>
      </c>
      <c r="G30" s="554">
        <f t="shared" si="14"/>
        <v>229</v>
      </c>
      <c r="H30" s="554">
        <f t="shared" si="15"/>
        <v>100</v>
      </c>
      <c r="I30" s="555">
        <f t="shared" si="16"/>
        <v>129</v>
      </c>
      <c r="J30" s="554">
        <f t="shared" si="16"/>
        <v>250</v>
      </c>
      <c r="K30" s="554">
        <f t="shared" si="17"/>
        <v>116</v>
      </c>
      <c r="L30" s="555">
        <f t="shared" si="18"/>
        <v>134</v>
      </c>
      <c r="M30" s="554">
        <f t="shared" si="19"/>
        <v>276</v>
      </c>
      <c r="N30" s="554">
        <f t="shared" si="20"/>
        <v>121</v>
      </c>
      <c r="O30" s="555">
        <f t="shared" si="21"/>
        <v>155</v>
      </c>
      <c r="P30" s="554">
        <f t="shared" si="21"/>
        <v>277</v>
      </c>
      <c r="Q30" s="554">
        <f t="shared" si="22"/>
        <v>122</v>
      </c>
      <c r="R30" s="555">
        <f t="shared" si="23"/>
        <v>155</v>
      </c>
    </row>
    <row r="31" spans="1:18" ht="26.25" customHeight="1">
      <c r="A31" s="559"/>
      <c r="B31" s="586" t="s">
        <v>5</v>
      </c>
      <c r="C31" s="560"/>
      <c r="D31" s="565">
        <f>D13-D22</f>
        <v>3482</v>
      </c>
      <c r="E31" s="562">
        <f>E13-E22</f>
        <v>1625</v>
      </c>
      <c r="F31" s="563">
        <f>F13-F22</f>
        <v>1857</v>
      </c>
      <c r="G31" s="561">
        <f aca="true" t="shared" si="24" ref="G31:L31">SUM(G24:G30)</f>
        <v>3725</v>
      </c>
      <c r="H31" s="561">
        <f t="shared" si="24"/>
        <v>1713</v>
      </c>
      <c r="I31" s="566">
        <f t="shared" si="24"/>
        <v>2012</v>
      </c>
      <c r="J31" s="561">
        <f t="shared" si="24"/>
        <v>3508</v>
      </c>
      <c r="K31" s="561">
        <f t="shared" si="24"/>
        <v>1608</v>
      </c>
      <c r="L31" s="566">
        <f t="shared" si="24"/>
        <v>1900</v>
      </c>
      <c r="M31" s="561">
        <f aca="true" t="shared" si="25" ref="M31:R31">SUM(M24:M30)</f>
        <v>3654</v>
      </c>
      <c r="N31" s="561">
        <f t="shared" si="25"/>
        <v>1693</v>
      </c>
      <c r="O31" s="566">
        <f t="shared" si="25"/>
        <v>1961</v>
      </c>
      <c r="P31" s="561">
        <f t="shared" si="25"/>
        <v>3585</v>
      </c>
      <c r="Q31" s="561">
        <f t="shared" si="25"/>
        <v>1657</v>
      </c>
      <c r="R31" s="566">
        <f t="shared" si="25"/>
        <v>1928</v>
      </c>
    </row>
    <row r="32" spans="1:18" ht="12.75">
      <c r="A32" s="572"/>
      <c r="B32" s="572"/>
      <c r="C32" s="572"/>
      <c r="D32" s="572"/>
      <c r="E32" s="572"/>
      <c r="F32" s="572"/>
      <c r="G32" s="572"/>
      <c r="H32" s="572"/>
      <c r="I32" s="572"/>
      <c r="J32" s="572"/>
      <c r="K32" s="572"/>
      <c r="L32" s="572"/>
      <c r="M32" s="572"/>
      <c r="N32" s="572"/>
      <c r="O32" s="572"/>
      <c r="P32" s="572"/>
      <c r="Q32" s="572"/>
      <c r="R32" s="572"/>
    </row>
    <row r="33" spans="1:18" ht="12.75">
      <c r="A33" s="572"/>
      <c r="B33" s="573"/>
      <c r="C33" s="572"/>
      <c r="D33" s="572"/>
      <c r="E33" s="572"/>
      <c r="F33" s="572"/>
      <c r="G33" s="572"/>
      <c r="H33" s="572"/>
      <c r="I33" s="572"/>
      <c r="J33" s="572"/>
      <c r="K33" s="572"/>
      <c r="L33" s="572"/>
      <c r="M33" s="572"/>
      <c r="N33" s="572"/>
      <c r="O33" s="572"/>
      <c r="P33" s="572"/>
      <c r="Q33" s="572"/>
      <c r="R33" s="572"/>
    </row>
    <row r="34" spans="1:18" ht="12.75">
      <c r="A34" s="572"/>
      <c r="B34" s="572"/>
      <c r="C34" s="572"/>
      <c r="D34" s="572"/>
      <c r="E34" s="572"/>
      <c r="F34" s="572"/>
      <c r="G34" s="572"/>
      <c r="H34" s="572"/>
      <c r="I34" s="572"/>
      <c r="J34" s="572"/>
      <c r="K34" s="572"/>
      <c r="L34" s="572"/>
      <c r="M34" s="572"/>
      <c r="N34" s="572"/>
      <c r="O34" s="572"/>
      <c r="P34" s="572"/>
      <c r="Q34" s="572"/>
      <c r="R34" s="572"/>
    </row>
  </sheetData>
  <sheetProtection/>
  <mergeCells count="10">
    <mergeCell ref="M3:O3"/>
    <mergeCell ref="A23:R23"/>
    <mergeCell ref="P3:R3"/>
    <mergeCell ref="A5:R5"/>
    <mergeCell ref="A3:C4"/>
    <mergeCell ref="J3:L3"/>
    <mergeCell ref="G3:I3"/>
    <mergeCell ref="A14:R14"/>
  </mergeCells>
  <printOptions/>
  <pageMargins left="0.75" right="0.32" top="0.5" bottom="0.24" header="0.25" footer="0.17"/>
  <pageSetup horizontalDpi="300" verticalDpi="300" orientation="portrait" paperSize="9" r:id="rId1"/>
  <headerFooter alignWithMargins="0">
    <oddHeader>&amp;C&amp;"Times New Roman,Regular"- 22 -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2.7109375" style="575" customWidth="1"/>
    <col min="2" max="2" width="3.8515625" style="575" customWidth="1"/>
    <col min="3" max="3" width="7.140625" style="575" customWidth="1"/>
    <col min="4" max="6" width="7.140625" style="575" hidden="1" customWidth="1"/>
    <col min="7" max="9" width="8.57421875" style="575" hidden="1" customWidth="1"/>
    <col min="10" max="11" width="8.57421875" style="575" customWidth="1"/>
    <col min="12" max="12" width="9.140625" style="575" customWidth="1"/>
    <col min="13" max="14" width="8.57421875" style="575" customWidth="1"/>
    <col min="15" max="15" width="9.140625" style="575" customWidth="1"/>
    <col min="16" max="17" width="8.57421875" style="575" customWidth="1"/>
    <col min="18" max="16384" width="9.140625" style="575" customWidth="1"/>
  </cols>
  <sheetData>
    <row r="1" ht="18.75" customHeight="1">
      <c r="A1" s="574" t="s">
        <v>308</v>
      </c>
    </row>
    <row r="2" ht="18.75" customHeight="1">
      <c r="A2" s="1073" t="s">
        <v>340</v>
      </c>
    </row>
    <row r="3" spans="1:18" ht="18.75" customHeight="1">
      <c r="A3" s="1074" t="s">
        <v>100</v>
      </c>
      <c r="B3" s="1074"/>
      <c r="C3" s="1074"/>
      <c r="D3" s="1074"/>
      <c r="E3" s="1074"/>
      <c r="F3" s="1074"/>
      <c r="G3" s="1074"/>
      <c r="H3" s="1074"/>
      <c r="Q3" s="1515"/>
      <c r="R3" s="1515"/>
    </row>
    <row r="4" ht="9.75" customHeight="1"/>
    <row r="5" spans="1:18" ht="21" customHeight="1">
      <c r="A5" s="1516" t="s">
        <v>96</v>
      </c>
      <c r="B5" s="1517"/>
      <c r="C5" s="1518"/>
      <c r="D5" s="576">
        <v>2005</v>
      </c>
      <c r="E5" s="576"/>
      <c r="F5" s="577"/>
      <c r="G5" s="1522">
        <v>2007</v>
      </c>
      <c r="H5" s="1523"/>
      <c r="I5" s="1524"/>
      <c r="J5" s="1522">
        <v>2008</v>
      </c>
      <c r="K5" s="1523"/>
      <c r="L5" s="1524"/>
      <c r="M5" s="1522">
        <v>2009</v>
      </c>
      <c r="N5" s="1523"/>
      <c r="O5" s="1524"/>
      <c r="P5" s="1522">
        <v>2010</v>
      </c>
      <c r="Q5" s="1523"/>
      <c r="R5" s="1524"/>
    </row>
    <row r="6" spans="1:18" ht="21" customHeight="1">
      <c r="A6" s="1519"/>
      <c r="B6" s="1520"/>
      <c r="C6" s="1521"/>
      <c r="D6" s="578" t="s">
        <v>5</v>
      </c>
      <c r="E6" s="579" t="s">
        <v>39</v>
      </c>
      <c r="F6" s="580" t="s">
        <v>40</v>
      </c>
      <c r="G6" s="578" t="s">
        <v>5</v>
      </c>
      <c r="H6" s="579" t="s">
        <v>39</v>
      </c>
      <c r="I6" s="580" t="s">
        <v>40</v>
      </c>
      <c r="J6" s="578" t="s">
        <v>5</v>
      </c>
      <c r="K6" s="579" t="s">
        <v>39</v>
      </c>
      <c r="L6" s="580" t="s">
        <v>40</v>
      </c>
      <c r="M6" s="578" t="s">
        <v>5</v>
      </c>
      <c r="N6" s="579" t="s">
        <v>39</v>
      </c>
      <c r="O6" s="580" t="s">
        <v>40</v>
      </c>
      <c r="P6" s="578" t="s">
        <v>5</v>
      </c>
      <c r="Q6" s="579" t="s">
        <v>39</v>
      </c>
      <c r="R6" s="580" t="s">
        <v>40</v>
      </c>
    </row>
    <row r="7" spans="1:18" ht="23.25" customHeight="1">
      <c r="A7" s="1512" t="s">
        <v>155</v>
      </c>
      <c r="B7" s="1513"/>
      <c r="C7" s="1513"/>
      <c r="D7" s="1513"/>
      <c r="E7" s="1513"/>
      <c r="F7" s="1513"/>
      <c r="G7" s="1513"/>
      <c r="H7" s="1513"/>
      <c r="I7" s="1513"/>
      <c r="J7" s="1513"/>
      <c r="K7" s="1513"/>
      <c r="L7" s="1513"/>
      <c r="M7" s="1513"/>
      <c r="N7" s="1513"/>
      <c r="O7" s="1513"/>
      <c r="P7" s="1513"/>
      <c r="Q7" s="1513"/>
      <c r="R7" s="1514"/>
    </row>
    <row r="8" spans="1:18" ht="25.5" customHeight="1">
      <c r="A8" s="583" t="s">
        <v>97</v>
      </c>
      <c r="B8" s="1136" t="s">
        <v>149</v>
      </c>
      <c r="C8" s="584"/>
      <c r="D8" s="1137">
        <f aca="true" t="shared" si="0" ref="D8:D15">SUM(E8:F8)</f>
        <v>17986</v>
      </c>
      <c r="E8" s="1137">
        <v>8686</v>
      </c>
      <c r="F8" s="1138">
        <v>9300</v>
      </c>
      <c r="G8" s="1137">
        <f aca="true" t="shared" si="1" ref="G8:G13">SUM(H8:I8)</f>
        <v>18328</v>
      </c>
      <c r="H8" s="1137">
        <v>8806</v>
      </c>
      <c r="I8" s="1133">
        <v>9522</v>
      </c>
      <c r="J8" s="1137">
        <f aca="true" t="shared" si="2" ref="J8:J13">SUM(K8:L8)</f>
        <v>17028</v>
      </c>
      <c r="K8" s="1137">
        <v>8169</v>
      </c>
      <c r="L8" s="1133">
        <v>8859</v>
      </c>
      <c r="M8" s="1137">
        <f aca="true" t="shared" si="3" ref="M8:M13">SUM(N8:O8)</f>
        <v>16809</v>
      </c>
      <c r="N8" s="1137">
        <v>8197</v>
      </c>
      <c r="O8" s="1133">
        <v>8612</v>
      </c>
      <c r="P8" s="1137">
        <f aca="true" t="shared" si="4" ref="P8:P13">SUM(Q8:R8)</f>
        <v>16241</v>
      </c>
      <c r="Q8" s="1137">
        <v>7894</v>
      </c>
      <c r="R8" s="550">
        <v>8347</v>
      </c>
    </row>
    <row r="9" spans="1:18" ht="25.5" customHeight="1">
      <c r="A9" s="583"/>
      <c r="B9" s="1139" t="s">
        <v>156</v>
      </c>
      <c r="C9" s="584"/>
      <c r="D9" s="1137">
        <f t="shared" si="0"/>
        <v>18554</v>
      </c>
      <c r="E9" s="1140">
        <v>8873</v>
      </c>
      <c r="F9" s="1138">
        <v>9681</v>
      </c>
      <c r="G9" s="1137">
        <f t="shared" si="1"/>
        <v>18759</v>
      </c>
      <c r="H9" s="1140">
        <v>9074</v>
      </c>
      <c r="I9" s="1133">
        <v>9685</v>
      </c>
      <c r="J9" s="1137">
        <f t="shared" si="2"/>
        <v>18269</v>
      </c>
      <c r="K9" s="1140">
        <v>8740</v>
      </c>
      <c r="L9" s="1133">
        <v>9529</v>
      </c>
      <c r="M9" s="1137">
        <f t="shared" si="3"/>
        <v>17246</v>
      </c>
      <c r="N9" s="1140">
        <v>8210</v>
      </c>
      <c r="O9" s="1133">
        <v>9036</v>
      </c>
      <c r="P9" s="1137">
        <f t="shared" si="4"/>
        <v>16958</v>
      </c>
      <c r="Q9" s="1140">
        <v>8150</v>
      </c>
      <c r="R9" s="1134">
        <v>8808</v>
      </c>
    </row>
    <row r="10" spans="1:18" ht="25.5" customHeight="1">
      <c r="A10" s="583"/>
      <c r="B10" s="1139" t="s">
        <v>157</v>
      </c>
      <c r="C10" s="584"/>
      <c r="D10" s="1137">
        <f t="shared" si="0"/>
        <v>18993</v>
      </c>
      <c r="E10" s="1137">
        <v>9206</v>
      </c>
      <c r="F10" s="1138">
        <v>9787</v>
      </c>
      <c r="G10" s="1137">
        <f t="shared" si="1"/>
        <v>18372</v>
      </c>
      <c r="H10" s="1137">
        <v>8959</v>
      </c>
      <c r="I10" s="1133">
        <v>9413</v>
      </c>
      <c r="J10" s="1137">
        <f t="shared" si="2"/>
        <v>18792</v>
      </c>
      <c r="K10" s="1137">
        <v>9092</v>
      </c>
      <c r="L10" s="1133">
        <v>9700</v>
      </c>
      <c r="M10" s="1137">
        <f t="shared" si="3"/>
        <v>18632</v>
      </c>
      <c r="N10" s="1137">
        <v>8980</v>
      </c>
      <c r="O10" s="1133">
        <v>9652</v>
      </c>
      <c r="P10" s="1137">
        <f t="shared" si="4"/>
        <v>17523</v>
      </c>
      <c r="Q10" s="1137">
        <v>8382</v>
      </c>
      <c r="R10" s="1134">
        <v>9141</v>
      </c>
    </row>
    <row r="11" spans="1:18" ht="25.5" customHeight="1">
      <c r="A11" s="583"/>
      <c r="B11" s="1139" t="s">
        <v>158</v>
      </c>
      <c r="C11" s="584"/>
      <c r="D11" s="1137">
        <f t="shared" si="0"/>
        <v>18851</v>
      </c>
      <c r="E11" s="1137">
        <v>9089</v>
      </c>
      <c r="F11" s="1138">
        <v>9762</v>
      </c>
      <c r="G11" s="1137">
        <f t="shared" si="1"/>
        <v>20192</v>
      </c>
      <c r="H11" s="1137">
        <v>9655</v>
      </c>
      <c r="I11" s="1133">
        <v>10537</v>
      </c>
      <c r="J11" s="1137">
        <f t="shared" si="2"/>
        <v>19932</v>
      </c>
      <c r="K11" s="1137">
        <v>9794</v>
      </c>
      <c r="L11" s="1133">
        <v>10138</v>
      </c>
      <c r="M11" s="1137">
        <f t="shared" si="3"/>
        <v>20355</v>
      </c>
      <c r="N11" s="1137">
        <v>9968</v>
      </c>
      <c r="O11" s="1133">
        <v>10387</v>
      </c>
      <c r="P11" s="1137">
        <f t="shared" si="4"/>
        <v>20522</v>
      </c>
      <c r="Q11" s="1137">
        <v>9955</v>
      </c>
      <c r="R11" s="1134">
        <v>10567</v>
      </c>
    </row>
    <row r="12" spans="1:18" ht="25.5" customHeight="1">
      <c r="A12" s="583"/>
      <c r="B12" s="1139" t="s">
        <v>159</v>
      </c>
      <c r="C12" s="584"/>
      <c r="D12" s="1137">
        <f t="shared" si="0"/>
        <v>18725</v>
      </c>
      <c r="E12" s="1137">
        <v>9068</v>
      </c>
      <c r="F12" s="1138">
        <v>9657</v>
      </c>
      <c r="G12" s="1137">
        <f t="shared" si="1"/>
        <v>20996</v>
      </c>
      <c r="H12" s="1137">
        <v>10209</v>
      </c>
      <c r="I12" s="1133">
        <v>10787</v>
      </c>
      <c r="J12" s="1137">
        <f t="shared" si="2"/>
        <v>21267</v>
      </c>
      <c r="K12" s="1137">
        <v>10386</v>
      </c>
      <c r="L12" s="1133">
        <v>10881</v>
      </c>
      <c r="M12" s="1137">
        <f t="shared" si="3"/>
        <v>21080</v>
      </c>
      <c r="N12" s="1137">
        <v>10151</v>
      </c>
      <c r="O12" s="1133">
        <v>10929</v>
      </c>
      <c r="P12" s="1137">
        <f t="shared" si="4"/>
        <v>21154</v>
      </c>
      <c r="Q12" s="1137">
        <v>10397</v>
      </c>
      <c r="R12" s="1134">
        <v>10757</v>
      </c>
    </row>
    <row r="13" spans="1:18" ht="25.5" customHeight="1">
      <c r="A13" s="583"/>
      <c r="B13" s="1139" t="s">
        <v>160</v>
      </c>
      <c r="C13" s="1141" t="s">
        <v>152</v>
      </c>
      <c r="D13" s="1137">
        <f t="shared" si="0"/>
        <v>8795</v>
      </c>
      <c r="E13" s="1137">
        <v>4072</v>
      </c>
      <c r="F13" s="1138">
        <v>4723</v>
      </c>
      <c r="G13" s="1137">
        <f t="shared" si="1"/>
        <v>10166</v>
      </c>
      <c r="H13" s="1137">
        <v>4709</v>
      </c>
      <c r="I13" s="1133">
        <v>5457</v>
      </c>
      <c r="J13" s="1137">
        <f t="shared" si="2"/>
        <v>10833</v>
      </c>
      <c r="K13" s="1137">
        <v>4847</v>
      </c>
      <c r="L13" s="1133">
        <v>5986</v>
      </c>
      <c r="M13" s="1137">
        <f t="shared" si="3"/>
        <v>11135</v>
      </c>
      <c r="N13" s="1137">
        <v>4904</v>
      </c>
      <c r="O13" s="1133">
        <v>6231</v>
      </c>
      <c r="P13" s="1137">
        <f t="shared" si="4"/>
        <v>11263</v>
      </c>
      <c r="Q13" s="1137">
        <v>4994</v>
      </c>
      <c r="R13" s="1134">
        <v>6269</v>
      </c>
    </row>
    <row r="14" spans="1:18" ht="25.5" customHeight="1">
      <c r="A14" s="583"/>
      <c r="B14" s="1139" t="s">
        <v>160</v>
      </c>
      <c r="C14" s="1141" t="s">
        <v>154</v>
      </c>
      <c r="D14" s="1137">
        <f t="shared" si="0"/>
        <v>8383</v>
      </c>
      <c r="E14" s="1137">
        <v>3994</v>
      </c>
      <c r="F14" s="1138">
        <v>4389</v>
      </c>
      <c r="G14" s="1137">
        <f>SUM(H14:I14)</f>
        <v>9893</v>
      </c>
      <c r="H14" s="1137">
        <v>4685</v>
      </c>
      <c r="I14" s="1133">
        <v>5208</v>
      </c>
      <c r="J14" s="1137">
        <f>SUM(K14:L14)</f>
        <v>10382</v>
      </c>
      <c r="K14" s="1137">
        <v>4845</v>
      </c>
      <c r="L14" s="1133">
        <v>5537</v>
      </c>
      <c r="M14" s="1137">
        <f>SUM(N14:O14)</f>
        <v>10969</v>
      </c>
      <c r="N14" s="1137">
        <v>4979</v>
      </c>
      <c r="O14" s="1133">
        <v>5990</v>
      </c>
      <c r="P14" s="1137">
        <f>SUM(Q14:R14)</f>
        <v>11218</v>
      </c>
      <c r="Q14" s="1137">
        <v>5011</v>
      </c>
      <c r="R14" s="555">
        <v>6207</v>
      </c>
    </row>
    <row r="15" spans="1:18" ht="25.5" customHeight="1">
      <c r="A15" s="585"/>
      <c r="B15" s="1135" t="s">
        <v>161</v>
      </c>
      <c r="C15" s="1142"/>
      <c r="D15" s="1143">
        <f t="shared" si="0"/>
        <v>110287</v>
      </c>
      <c r="E15" s="1143">
        <f>SUM(E8:E14)</f>
        <v>52988</v>
      </c>
      <c r="F15" s="1144">
        <f>SUM(F8:F14)</f>
        <v>57299</v>
      </c>
      <c r="G15" s="1143">
        <f>SUM(H15:I15)</f>
        <v>116706</v>
      </c>
      <c r="H15" s="1143">
        <f>SUM(H8:H14)</f>
        <v>56097</v>
      </c>
      <c r="I15" s="1145">
        <f>SUM(I8:I14)</f>
        <v>60609</v>
      </c>
      <c r="J15" s="1143">
        <f>SUM(K15:L15)</f>
        <v>116503</v>
      </c>
      <c r="K15" s="1143">
        <f>SUM(K8:K14)</f>
        <v>55873</v>
      </c>
      <c r="L15" s="1145">
        <f>SUM(L8:L14)</f>
        <v>60630</v>
      </c>
      <c r="M15" s="1143">
        <f>SUM(N15:O15)</f>
        <v>116226</v>
      </c>
      <c r="N15" s="1143">
        <f>SUM(N8:N14)</f>
        <v>55389</v>
      </c>
      <c r="O15" s="1145">
        <f>SUM(O8:O14)</f>
        <v>60837</v>
      </c>
      <c r="P15" s="1143">
        <f>SUM(Q15:R15)</f>
        <v>114879</v>
      </c>
      <c r="Q15" s="1143">
        <f>SUM(Q8:Q14)</f>
        <v>54783</v>
      </c>
      <c r="R15" s="1145">
        <f>SUM(R8:R14)</f>
        <v>60096</v>
      </c>
    </row>
    <row r="16" spans="1:18" ht="23.25" customHeight="1">
      <c r="A16" s="1512" t="s">
        <v>162</v>
      </c>
      <c r="B16" s="1513"/>
      <c r="C16" s="1513"/>
      <c r="D16" s="1513"/>
      <c r="E16" s="1513"/>
      <c r="F16" s="1513"/>
      <c r="G16" s="1513"/>
      <c r="H16" s="1513"/>
      <c r="I16" s="1513"/>
      <c r="J16" s="1513"/>
      <c r="K16" s="1513"/>
      <c r="L16" s="1513"/>
      <c r="M16" s="1513"/>
      <c r="N16" s="1513"/>
      <c r="O16" s="1513"/>
      <c r="P16" s="1513"/>
      <c r="Q16" s="1513"/>
      <c r="R16" s="1514"/>
    </row>
    <row r="17" spans="1:18" ht="25.5" customHeight="1">
      <c r="A17" s="581" t="s">
        <v>97</v>
      </c>
      <c r="B17" s="1146" t="s">
        <v>149</v>
      </c>
      <c r="C17" s="582"/>
      <c r="D17" s="1147">
        <f>SUM(E17:F17)</f>
        <v>7159</v>
      </c>
      <c r="E17" s="1148">
        <v>3550</v>
      </c>
      <c r="F17" s="1149">
        <v>3609</v>
      </c>
      <c r="G17" s="1147">
        <f>SUM(H17:I17)</f>
        <v>7487</v>
      </c>
      <c r="H17" s="1148">
        <v>3581</v>
      </c>
      <c r="I17" s="1149">
        <v>3906</v>
      </c>
      <c r="J17" s="1147">
        <f>SUM(K17:L17)</f>
        <v>7221</v>
      </c>
      <c r="K17" s="1148">
        <v>3587</v>
      </c>
      <c r="L17" s="1149">
        <v>3634</v>
      </c>
      <c r="M17" s="1147">
        <f>SUM(N17:O17)</f>
        <v>7535</v>
      </c>
      <c r="N17" s="1148">
        <v>3775</v>
      </c>
      <c r="O17" s="1149">
        <v>3760</v>
      </c>
      <c r="P17" s="1147">
        <f>SUM(Q17:R17)</f>
        <v>7171</v>
      </c>
      <c r="Q17" s="1148">
        <v>3529</v>
      </c>
      <c r="R17" s="1149">
        <v>3642</v>
      </c>
    </row>
    <row r="18" spans="1:18" ht="25.5" customHeight="1">
      <c r="A18" s="583"/>
      <c r="B18" s="1139" t="s">
        <v>156</v>
      </c>
      <c r="C18" s="584"/>
      <c r="D18" s="1150">
        <f aca="true" t="shared" si="5" ref="D18:D23">SUM(E18:F18)</f>
        <v>7382</v>
      </c>
      <c r="E18" s="1137">
        <v>3587</v>
      </c>
      <c r="F18" s="1138">
        <v>3795</v>
      </c>
      <c r="G18" s="1150">
        <f aca="true" t="shared" si="6" ref="G18:G24">SUM(H18:I18)</f>
        <v>7345</v>
      </c>
      <c r="H18" s="1137">
        <v>3602</v>
      </c>
      <c r="I18" s="1138">
        <v>3743</v>
      </c>
      <c r="J18" s="1150">
        <f aca="true" t="shared" si="7" ref="J18:J24">SUM(K18:L18)</f>
        <v>7391</v>
      </c>
      <c r="K18" s="1137">
        <v>3502</v>
      </c>
      <c r="L18" s="1138">
        <v>3889</v>
      </c>
      <c r="M18" s="1150">
        <f aca="true" t="shared" si="8" ref="M18:M24">SUM(N18:O18)</f>
        <v>7190</v>
      </c>
      <c r="N18" s="1137">
        <v>3547</v>
      </c>
      <c r="O18" s="1138">
        <v>3643</v>
      </c>
      <c r="P18" s="1150">
        <f aca="true" t="shared" si="9" ref="P18:P24">SUM(Q18:R18)</f>
        <v>7307</v>
      </c>
      <c r="Q18" s="1137">
        <v>3576</v>
      </c>
      <c r="R18" s="1138">
        <v>3731</v>
      </c>
    </row>
    <row r="19" spans="1:18" ht="25.5" customHeight="1">
      <c r="A19" s="583"/>
      <c r="B19" s="1139" t="s">
        <v>157</v>
      </c>
      <c r="C19" s="584"/>
      <c r="D19" s="1150">
        <f t="shared" si="5"/>
        <v>6546</v>
      </c>
      <c r="E19" s="1137">
        <v>3187</v>
      </c>
      <c r="F19" s="1138">
        <v>3359</v>
      </c>
      <c r="G19" s="1150">
        <f t="shared" si="6"/>
        <v>7197</v>
      </c>
      <c r="H19" s="1137">
        <v>3556</v>
      </c>
      <c r="I19" s="1138">
        <v>3641</v>
      </c>
      <c r="J19" s="1150">
        <f t="shared" si="7"/>
        <v>7390</v>
      </c>
      <c r="K19" s="1137">
        <v>3642</v>
      </c>
      <c r="L19" s="1138">
        <v>3748</v>
      </c>
      <c r="M19" s="1150">
        <f t="shared" si="8"/>
        <v>7442</v>
      </c>
      <c r="N19" s="1137">
        <v>3532</v>
      </c>
      <c r="O19" s="1138">
        <v>3910</v>
      </c>
      <c r="P19" s="1150">
        <f t="shared" si="9"/>
        <v>7245</v>
      </c>
      <c r="Q19" s="1137">
        <v>3560</v>
      </c>
      <c r="R19" s="1138">
        <v>3685</v>
      </c>
    </row>
    <row r="20" spans="1:18" ht="25.5" customHeight="1">
      <c r="A20" s="583"/>
      <c r="B20" s="1139" t="s">
        <v>158</v>
      </c>
      <c r="C20" s="584"/>
      <c r="D20" s="1150">
        <f t="shared" si="5"/>
        <v>4402</v>
      </c>
      <c r="E20" s="1137">
        <v>2147</v>
      </c>
      <c r="F20" s="1138">
        <v>2255</v>
      </c>
      <c r="G20" s="1150">
        <f t="shared" si="6"/>
        <v>7518</v>
      </c>
      <c r="H20" s="1137">
        <v>3590</v>
      </c>
      <c r="I20" s="1138">
        <v>3928</v>
      </c>
      <c r="J20" s="1150">
        <f t="shared" si="7"/>
        <v>7600</v>
      </c>
      <c r="K20" s="1137">
        <v>3844</v>
      </c>
      <c r="L20" s="1138">
        <v>3756</v>
      </c>
      <c r="M20" s="1150">
        <f t="shared" si="8"/>
        <v>7610</v>
      </c>
      <c r="N20" s="1137">
        <v>3773</v>
      </c>
      <c r="O20" s="1138">
        <v>3837</v>
      </c>
      <c r="P20" s="1150">
        <f t="shared" si="9"/>
        <v>7802</v>
      </c>
      <c r="Q20" s="1137">
        <v>3737</v>
      </c>
      <c r="R20" s="1138">
        <v>4065</v>
      </c>
    </row>
    <row r="21" spans="1:18" ht="25.5" customHeight="1">
      <c r="A21" s="583"/>
      <c r="B21" s="1139" t="s">
        <v>159</v>
      </c>
      <c r="C21" s="584"/>
      <c r="D21" s="1150">
        <f t="shared" si="5"/>
        <v>4514</v>
      </c>
      <c r="E21" s="1137">
        <v>2243</v>
      </c>
      <c r="F21" s="1138">
        <v>2271</v>
      </c>
      <c r="G21" s="1150">
        <f t="shared" si="6"/>
        <v>7000</v>
      </c>
      <c r="H21" s="1137">
        <v>3380</v>
      </c>
      <c r="I21" s="1138">
        <v>3620</v>
      </c>
      <c r="J21" s="1150">
        <f t="shared" si="7"/>
        <v>8444</v>
      </c>
      <c r="K21" s="1137">
        <v>4065</v>
      </c>
      <c r="L21" s="1138">
        <v>4379</v>
      </c>
      <c r="M21" s="1150">
        <f t="shared" si="8"/>
        <v>8370</v>
      </c>
      <c r="N21" s="1137">
        <v>4055</v>
      </c>
      <c r="O21" s="1138">
        <v>4315</v>
      </c>
      <c r="P21" s="1150">
        <f t="shared" si="9"/>
        <v>8212</v>
      </c>
      <c r="Q21" s="1137">
        <v>3969</v>
      </c>
      <c r="R21" s="1138">
        <v>4243</v>
      </c>
    </row>
    <row r="22" spans="1:18" ht="25.5" customHeight="1">
      <c r="A22" s="583"/>
      <c r="B22" s="1139" t="s">
        <v>160</v>
      </c>
      <c r="C22" s="1141" t="s">
        <v>152</v>
      </c>
      <c r="D22" s="1150">
        <f t="shared" si="5"/>
        <v>3460</v>
      </c>
      <c r="E22" s="1137">
        <v>1687</v>
      </c>
      <c r="F22" s="1138">
        <v>1773</v>
      </c>
      <c r="G22" s="1150">
        <f t="shared" si="6"/>
        <v>3721</v>
      </c>
      <c r="H22" s="1137">
        <v>1702</v>
      </c>
      <c r="I22" s="1138">
        <v>2019</v>
      </c>
      <c r="J22" s="1150">
        <f t="shared" si="7"/>
        <v>4649</v>
      </c>
      <c r="K22" s="1137">
        <v>1959</v>
      </c>
      <c r="L22" s="1138">
        <v>2690</v>
      </c>
      <c r="M22" s="1150">
        <f t="shared" si="8"/>
        <v>5438</v>
      </c>
      <c r="N22" s="1137">
        <v>2169</v>
      </c>
      <c r="O22" s="1138">
        <v>3269</v>
      </c>
      <c r="P22" s="1150">
        <f t="shared" si="9"/>
        <v>5626</v>
      </c>
      <c r="Q22" s="1137">
        <v>2367</v>
      </c>
      <c r="R22" s="1138">
        <v>3259</v>
      </c>
    </row>
    <row r="23" spans="1:18" ht="25.5" customHeight="1">
      <c r="A23" s="583"/>
      <c r="B23" s="1139" t="s">
        <v>160</v>
      </c>
      <c r="C23" s="1141" t="s">
        <v>154</v>
      </c>
      <c r="D23" s="1150">
        <f t="shared" si="5"/>
        <v>3742</v>
      </c>
      <c r="E23" s="1137">
        <v>1874</v>
      </c>
      <c r="F23" s="1138">
        <v>1868</v>
      </c>
      <c r="G23" s="1150">
        <f t="shared" si="6"/>
        <v>4168</v>
      </c>
      <c r="H23" s="1137">
        <v>2030</v>
      </c>
      <c r="I23" s="1138">
        <v>2138</v>
      </c>
      <c r="J23" s="1150">
        <f t="shared" si="7"/>
        <v>4345</v>
      </c>
      <c r="K23" s="1137">
        <v>2008</v>
      </c>
      <c r="L23" s="1138">
        <v>2337</v>
      </c>
      <c r="M23" s="1150">
        <f t="shared" si="8"/>
        <v>4976</v>
      </c>
      <c r="N23" s="1137">
        <v>2127</v>
      </c>
      <c r="O23" s="1138">
        <v>2849</v>
      </c>
      <c r="P23" s="1150">
        <f t="shared" si="9"/>
        <v>5615</v>
      </c>
      <c r="Q23" s="1137">
        <v>2299</v>
      </c>
      <c r="R23" s="1138">
        <v>3316</v>
      </c>
    </row>
    <row r="24" spans="1:18" ht="25.5" customHeight="1">
      <c r="A24" s="585"/>
      <c r="B24" s="1135" t="s">
        <v>161</v>
      </c>
      <c r="C24" s="1142"/>
      <c r="D24" s="1143">
        <f>SUM(E24:F24)</f>
        <v>37205</v>
      </c>
      <c r="E24" s="1143">
        <f>SUM(E17:E23)</f>
        <v>18275</v>
      </c>
      <c r="F24" s="1144">
        <f>SUM(F17:F23)</f>
        <v>18930</v>
      </c>
      <c r="G24" s="1143">
        <f t="shared" si="6"/>
        <v>44436</v>
      </c>
      <c r="H24" s="1143">
        <f>SUM(H17:H23)</f>
        <v>21441</v>
      </c>
      <c r="I24" s="1144">
        <f>SUM(I17:I23)</f>
        <v>22995</v>
      </c>
      <c r="J24" s="1143">
        <f t="shared" si="7"/>
        <v>47040</v>
      </c>
      <c r="K24" s="1143">
        <f>SUM(K17:K23)</f>
        <v>22607</v>
      </c>
      <c r="L24" s="1144">
        <f>SUM(L17:L23)</f>
        <v>24433</v>
      </c>
      <c r="M24" s="1143">
        <f t="shared" si="8"/>
        <v>48561</v>
      </c>
      <c r="N24" s="1143">
        <f>SUM(N17:N23)</f>
        <v>22978</v>
      </c>
      <c r="O24" s="1144">
        <f>SUM(O17:O23)</f>
        <v>25583</v>
      </c>
      <c r="P24" s="1143">
        <f t="shared" si="9"/>
        <v>48978</v>
      </c>
      <c r="Q24" s="1143">
        <f>SUM(Q17:Q23)</f>
        <v>23037</v>
      </c>
      <c r="R24" s="1144">
        <f>SUM(R17:R23)</f>
        <v>25941</v>
      </c>
    </row>
    <row r="25" spans="1:18" ht="23.25" customHeight="1">
      <c r="A25" s="1512" t="s">
        <v>163</v>
      </c>
      <c r="B25" s="1513"/>
      <c r="C25" s="1513"/>
      <c r="D25" s="1513"/>
      <c r="E25" s="1513"/>
      <c r="F25" s="1513"/>
      <c r="G25" s="1513"/>
      <c r="H25" s="1513"/>
      <c r="I25" s="1513"/>
      <c r="J25" s="1513"/>
      <c r="K25" s="1513"/>
      <c r="L25" s="1513"/>
      <c r="M25" s="1513"/>
      <c r="N25" s="1513"/>
      <c r="O25" s="1513"/>
      <c r="P25" s="1513"/>
      <c r="Q25" s="1513"/>
      <c r="R25" s="1514"/>
    </row>
    <row r="26" spans="1:18" ht="25.5" customHeight="1">
      <c r="A26" s="581" t="s">
        <v>97</v>
      </c>
      <c r="B26" s="1146" t="s">
        <v>149</v>
      </c>
      <c r="C26" s="582"/>
      <c r="D26" s="1148">
        <f aca="true" t="shared" si="10" ref="D26:D32">SUM(E26:F26)</f>
        <v>10827</v>
      </c>
      <c r="E26" s="1151">
        <f aca="true" t="shared" si="11" ref="E26:F32">E8-E17</f>
        <v>5136</v>
      </c>
      <c r="F26" s="1152">
        <f t="shared" si="11"/>
        <v>5691</v>
      </c>
      <c r="G26" s="1148">
        <f aca="true" t="shared" si="12" ref="G26:G32">SUM(H26:I26)</f>
        <v>10841</v>
      </c>
      <c r="H26" s="1151">
        <f aca="true" t="shared" si="13" ref="H26:I32">H8-H17</f>
        <v>5225</v>
      </c>
      <c r="I26" s="1152">
        <f t="shared" si="13"/>
        <v>5616</v>
      </c>
      <c r="J26" s="1148">
        <f aca="true" t="shared" si="14" ref="J26:J32">SUM(K26:L26)</f>
        <v>9807</v>
      </c>
      <c r="K26" s="1151">
        <f aca="true" t="shared" si="15" ref="K26:L32">K8-K17</f>
        <v>4582</v>
      </c>
      <c r="L26" s="1152">
        <f t="shared" si="15"/>
        <v>5225</v>
      </c>
      <c r="M26" s="1148">
        <f aca="true" t="shared" si="16" ref="M26:M32">SUM(N26:O26)</f>
        <v>9274</v>
      </c>
      <c r="N26" s="1151">
        <f>N8-N17</f>
        <v>4422</v>
      </c>
      <c r="O26" s="1152">
        <f>O8-O17</f>
        <v>4852</v>
      </c>
      <c r="P26" s="1148">
        <f aca="true" t="shared" si="17" ref="P26:P32">SUM(Q26:R26)</f>
        <v>9070</v>
      </c>
      <c r="Q26" s="1151">
        <f aca="true" t="shared" si="18" ref="Q26:R32">Q8-Q17</f>
        <v>4365</v>
      </c>
      <c r="R26" s="1152">
        <f t="shared" si="18"/>
        <v>4705</v>
      </c>
    </row>
    <row r="27" spans="1:18" ht="25.5" customHeight="1">
      <c r="A27" s="583"/>
      <c r="B27" s="1139" t="s">
        <v>156</v>
      </c>
      <c r="C27" s="584"/>
      <c r="D27" s="1153">
        <f t="shared" si="10"/>
        <v>11172</v>
      </c>
      <c r="E27" s="1140">
        <f t="shared" si="11"/>
        <v>5286</v>
      </c>
      <c r="F27" s="1133">
        <f t="shared" si="11"/>
        <v>5886</v>
      </c>
      <c r="G27" s="1153">
        <f t="shared" si="12"/>
        <v>11414</v>
      </c>
      <c r="H27" s="1140">
        <f t="shared" si="13"/>
        <v>5472</v>
      </c>
      <c r="I27" s="1133">
        <f t="shared" si="13"/>
        <v>5942</v>
      </c>
      <c r="J27" s="1153">
        <f t="shared" si="14"/>
        <v>10878</v>
      </c>
      <c r="K27" s="1140">
        <f t="shared" si="15"/>
        <v>5238</v>
      </c>
      <c r="L27" s="1133">
        <f t="shared" si="15"/>
        <v>5640</v>
      </c>
      <c r="M27" s="1153">
        <f t="shared" si="16"/>
        <v>10056</v>
      </c>
      <c r="N27" s="1140">
        <f aca="true" t="shared" si="19" ref="N27:O32">N9-N18</f>
        <v>4663</v>
      </c>
      <c r="O27" s="1133">
        <f t="shared" si="19"/>
        <v>5393</v>
      </c>
      <c r="P27" s="1153">
        <f t="shared" si="17"/>
        <v>9651</v>
      </c>
      <c r="Q27" s="1140">
        <f t="shared" si="18"/>
        <v>4574</v>
      </c>
      <c r="R27" s="1133">
        <f t="shared" si="18"/>
        <v>5077</v>
      </c>
    </row>
    <row r="28" spans="1:18" ht="25.5" customHeight="1">
      <c r="A28" s="583"/>
      <c r="B28" s="1139" t="s">
        <v>157</v>
      </c>
      <c r="C28" s="584"/>
      <c r="D28" s="1153">
        <f t="shared" si="10"/>
        <v>12447</v>
      </c>
      <c r="E28" s="1140">
        <f t="shared" si="11"/>
        <v>6019</v>
      </c>
      <c r="F28" s="1133">
        <f t="shared" si="11"/>
        <v>6428</v>
      </c>
      <c r="G28" s="1153">
        <f t="shared" si="12"/>
        <v>11175</v>
      </c>
      <c r="H28" s="1140">
        <f t="shared" si="13"/>
        <v>5403</v>
      </c>
      <c r="I28" s="1133">
        <f t="shared" si="13"/>
        <v>5772</v>
      </c>
      <c r="J28" s="1153">
        <f t="shared" si="14"/>
        <v>11402</v>
      </c>
      <c r="K28" s="1140">
        <f t="shared" si="15"/>
        <v>5450</v>
      </c>
      <c r="L28" s="1133">
        <f t="shared" si="15"/>
        <v>5952</v>
      </c>
      <c r="M28" s="1153">
        <f t="shared" si="16"/>
        <v>11190</v>
      </c>
      <c r="N28" s="1140">
        <f t="shared" si="19"/>
        <v>5448</v>
      </c>
      <c r="O28" s="1133">
        <f t="shared" si="19"/>
        <v>5742</v>
      </c>
      <c r="P28" s="1153">
        <f t="shared" si="17"/>
        <v>10278</v>
      </c>
      <c r="Q28" s="1140">
        <f t="shared" si="18"/>
        <v>4822</v>
      </c>
      <c r="R28" s="1133">
        <f t="shared" si="18"/>
        <v>5456</v>
      </c>
    </row>
    <row r="29" spans="1:18" ht="25.5" customHeight="1">
      <c r="A29" s="583"/>
      <c r="B29" s="1139" t="s">
        <v>158</v>
      </c>
      <c r="C29" s="584"/>
      <c r="D29" s="1153">
        <f t="shared" si="10"/>
        <v>14449</v>
      </c>
      <c r="E29" s="1140">
        <f t="shared" si="11"/>
        <v>6942</v>
      </c>
      <c r="F29" s="1133">
        <f t="shared" si="11"/>
        <v>7507</v>
      </c>
      <c r="G29" s="1153">
        <f t="shared" si="12"/>
        <v>12674</v>
      </c>
      <c r="H29" s="1140">
        <f t="shared" si="13"/>
        <v>6065</v>
      </c>
      <c r="I29" s="1133">
        <f t="shared" si="13"/>
        <v>6609</v>
      </c>
      <c r="J29" s="1153">
        <f t="shared" si="14"/>
        <v>12332</v>
      </c>
      <c r="K29" s="1140">
        <f t="shared" si="15"/>
        <v>5950</v>
      </c>
      <c r="L29" s="1133">
        <f t="shared" si="15"/>
        <v>6382</v>
      </c>
      <c r="M29" s="1153">
        <f t="shared" si="16"/>
        <v>12745</v>
      </c>
      <c r="N29" s="1140">
        <f t="shared" si="19"/>
        <v>6195</v>
      </c>
      <c r="O29" s="1133">
        <f t="shared" si="19"/>
        <v>6550</v>
      </c>
      <c r="P29" s="1153">
        <f t="shared" si="17"/>
        <v>12720</v>
      </c>
      <c r="Q29" s="1140">
        <f t="shared" si="18"/>
        <v>6218</v>
      </c>
      <c r="R29" s="1133">
        <f t="shared" si="18"/>
        <v>6502</v>
      </c>
    </row>
    <row r="30" spans="1:18" ht="25.5" customHeight="1">
      <c r="A30" s="583"/>
      <c r="B30" s="1139" t="s">
        <v>159</v>
      </c>
      <c r="C30" s="584"/>
      <c r="D30" s="1153">
        <f t="shared" si="10"/>
        <v>14211</v>
      </c>
      <c r="E30" s="1140">
        <f t="shared" si="11"/>
        <v>6825</v>
      </c>
      <c r="F30" s="1133">
        <f t="shared" si="11"/>
        <v>7386</v>
      </c>
      <c r="G30" s="1153">
        <f t="shared" si="12"/>
        <v>13996</v>
      </c>
      <c r="H30" s="1140">
        <f t="shared" si="13"/>
        <v>6829</v>
      </c>
      <c r="I30" s="1133">
        <f t="shared" si="13"/>
        <v>7167</v>
      </c>
      <c r="J30" s="1153">
        <f t="shared" si="14"/>
        <v>12823</v>
      </c>
      <c r="K30" s="1140">
        <f t="shared" si="15"/>
        <v>6321</v>
      </c>
      <c r="L30" s="1133">
        <f t="shared" si="15"/>
        <v>6502</v>
      </c>
      <c r="M30" s="1153">
        <f t="shared" si="16"/>
        <v>12710</v>
      </c>
      <c r="N30" s="1140">
        <f t="shared" si="19"/>
        <v>6096</v>
      </c>
      <c r="O30" s="1133">
        <f t="shared" si="19"/>
        <v>6614</v>
      </c>
      <c r="P30" s="1153">
        <f t="shared" si="17"/>
        <v>12942</v>
      </c>
      <c r="Q30" s="1140">
        <f t="shared" si="18"/>
        <v>6428</v>
      </c>
      <c r="R30" s="1133">
        <f t="shared" si="18"/>
        <v>6514</v>
      </c>
    </row>
    <row r="31" spans="1:18" ht="25.5" customHeight="1">
      <c r="A31" s="583"/>
      <c r="B31" s="1139" t="s">
        <v>160</v>
      </c>
      <c r="C31" s="1141" t="s">
        <v>152</v>
      </c>
      <c r="D31" s="1153">
        <f t="shared" si="10"/>
        <v>5335</v>
      </c>
      <c r="E31" s="1140">
        <f t="shared" si="11"/>
        <v>2385</v>
      </c>
      <c r="F31" s="1133">
        <f t="shared" si="11"/>
        <v>2950</v>
      </c>
      <c r="G31" s="1153">
        <f t="shared" si="12"/>
        <v>6445</v>
      </c>
      <c r="H31" s="1140">
        <f t="shared" si="13"/>
        <v>3007</v>
      </c>
      <c r="I31" s="1133">
        <f t="shared" si="13"/>
        <v>3438</v>
      </c>
      <c r="J31" s="1153">
        <f t="shared" si="14"/>
        <v>6184</v>
      </c>
      <c r="K31" s="1140">
        <f t="shared" si="15"/>
        <v>2888</v>
      </c>
      <c r="L31" s="1133">
        <f t="shared" si="15"/>
        <v>3296</v>
      </c>
      <c r="M31" s="1153">
        <f t="shared" si="16"/>
        <v>5697</v>
      </c>
      <c r="N31" s="1140">
        <f t="shared" si="19"/>
        <v>2735</v>
      </c>
      <c r="O31" s="1133">
        <f t="shared" si="19"/>
        <v>2962</v>
      </c>
      <c r="P31" s="1153">
        <f t="shared" si="17"/>
        <v>5637</v>
      </c>
      <c r="Q31" s="1140">
        <f t="shared" si="18"/>
        <v>2627</v>
      </c>
      <c r="R31" s="1133">
        <f t="shared" si="18"/>
        <v>3010</v>
      </c>
    </row>
    <row r="32" spans="1:18" ht="25.5" customHeight="1">
      <c r="A32" s="583"/>
      <c r="B32" s="1139" t="s">
        <v>160</v>
      </c>
      <c r="C32" s="1141" t="s">
        <v>154</v>
      </c>
      <c r="D32" s="1153">
        <f t="shared" si="10"/>
        <v>4641</v>
      </c>
      <c r="E32" s="1137">
        <f t="shared" si="11"/>
        <v>2120</v>
      </c>
      <c r="F32" s="1133">
        <f t="shared" si="11"/>
        <v>2521</v>
      </c>
      <c r="G32" s="1153">
        <f t="shared" si="12"/>
        <v>5725</v>
      </c>
      <c r="H32" s="1137">
        <f t="shared" si="13"/>
        <v>2655</v>
      </c>
      <c r="I32" s="1133">
        <f t="shared" si="13"/>
        <v>3070</v>
      </c>
      <c r="J32" s="1153">
        <f t="shared" si="14"/>
        <v>6037</v>
      </c>
      <c r="K32" s="1137">
        <f t="shared" si="15"/>
        <v>2837</v>
      </c>
      <c r="L32" s="1133">
        <f t="shared" si="15"/>
        <v>3200</v>
      </c>
      <c r="M32" s="1153">
        <f t="shared" si="16"/>
        <v>5993</v>
      </c>
      <c r="N32" s="1137">
        <f t="shared" si="19"/>
        <v>2852</v>
      </c>
      <c r="O32" s="1133">
        <f t="shared" si="19"/>
        <v>3141</v>
      </c>
      <c r="P32" s="1153">
        <f t="shared" si="17"/>
        <v>5603</v>
      </c>
      <c r="Q32" s="1137">
        <f t="shared" si="18"/>
        <v>2712</v>
      </c>
      <c r="R32" s="1133">
        <f t="shared" si="18"/>
        <v>2891</v>
      </c>
    </row>
    <row r="33" spans="1:18" ht="25.5" customHeight="1">
      <c r="A33" s="585"/>
      <c r="B33" s="1135" t="s">
        <v>161</v>
      </c>
      <c r="C33" s="1142"/>
      <c r="D33" s="1143">
        <f aca="true" t="shared" si="20" ref="D33:O33">SUM(D26:D32)</f>
        <v>73082</v>
      </c>
      <c r="E33" s="1143">
        <f t="shared" si="20"/>
        <v>34713</v>
      </c>
      <c r="F33" s="1145">
        <f t="shared" si="20"/>
        <v>38369</v>
      </c>
      <c r="G33" s="1143">
        <f aca="true" t="shared" si="21" ref="G33:L33">SUM(G26:G32)</f>
        <v>72270</v>
      </c>
      <c r="H33" s="1143">
        <f t="shared" si="21"/>
        <v>34656</v>
      </c>
      <c r="I33" s="1145">
        <f t="shared" si="21"/>
        <v>37614</v>
      </c>
      <c r="J33" s="1143">
        <f t="shared" si="21"/>
        <v>69463</v>
      </c>
      <c r="K33" s="1143">
        <f t="shared" si="21"/>
        <v>33266</v>
      </c>
      <c r="L33" s="1145">
        <f t="shared" si="21"/>
        <v>36197</v>
      </c>
      <c r="M33" s="1143">
        <f t="shared" si="20"/>
        <v>67665</v>
      </c>
      <c r="N33" s="1143">
        <f t="shared" si="20"/>
        <v>32411</v>
      </c>
      <c r="O33" s="1145">
        <f t="shared" si="20"/>
        <v>35254</v>
      </c>
      <c r="P33" s="1143">
        <f>SUM(P26:P32)</f>
        <v>65901</v>
      </c>
      <c r="Q33" s="1143">
        <f>SUM(Q26:Q32)</f>
        <v>31746</v>
      </c>
      <c r="R33" s="1145">
        <f>SUM(R26:R32)</f>
        <v>34155</v>
      </c>
    </row>
  </sheetData>
  <sheetProtection/>
  <mergeCells count="9">
    <mergeCell ref="A16:R16"/>
    <mergeCell ref="A25:R25"/>
    <mergeCell ref="Q3:R3"/>
    <mergeCell ref="A5:C6"/>
    <mergeCell ref="J5:L5"/>
    <mergeCell ref="M5:O5"/>
    <mergeCell ref="G5:I5"/>
    <mergeCell ref="P5:R5"/>
    <mergeCell ref="A7:R7"/>
  </mergeCells>
  <printOptions/>
  <pageMargins left="0.5" right="0.27" top="0.5" bottom="0.21" header="0.25" footer="0.18"/>
  <pageSetup horizontalDpi="600" verticalDpi="600" orientation="portrait" paperSize="9" r:id="rId1"/>
  <headerFooter alignWithMargins="0">
    <oddHeader xml:space="preserve">&amp;C&amp;"Times New Roman,Regular"- 23 -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26.7109375" style="434" customWidth="1"/>
    <col min="2" max="2" width="10.57421875" style="434" customWidth="1"/>
    <col min="3" max="3" width="13.00390625" style="434" customWidth="1"/>
    <col min="4" max="7" width="11.00390625" style="434" customWidth="1"/>
    <col min="36" max="16384" width="9.140625" style="434" customWidth="1"/>
  </cols>
  <sheetData>
    <row r="1" spans="1:35" s="432" customFormat="1" ht="26.25" customHeight="1">
      <c r="A1" s="1102" t="s">
        <v>341</v>
      </c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</row>
    <row r="2" ht="17.25" customHeight="1"/>
    <row r="3" spans="1:35" s="440" customFormat="1" ht="21.75" customHeight="1">
      <c r="A3" s="435"/>
      <c r="B3" s="436"/>
      <c r="C3" s="1480" t="s">
        <v>139</v>
      </c>
      <c r="D3" s="437" t="s">
        <v>136</v>
      </c>
      <c r="E3" s="437"/>
      <c r="F3" s="437"/>
      <c r="G3" s="438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</row>
    <row r="4" spans="1:35" s="440" customFormat="1" ht="21.75" customHeight="1">
      <c r="A4" s="441" t="s">
        <v>15</v>
      </c>
      <c r="B4" s="442"/>
      <c r="C4" s="1481"/>
      <c r="D4" s="1525" t="s">
        <v>164</v>
      </c>
      <c r="E4" s="1526"/>
      <c r="F4" s="443" t="s">
        <v>166</v>
      </c>
      <c r="G4" s="438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</row>
    <row r="5" spans="1:35" s="440" customFormat="1" ht="21.75" customHeight="1">
      <c r="A5" s="448"/>
      <c r="B5" s="449"/>
      <c r="C5" s="1482"/>
      <c r="D5" s="450" t="s">
        <v>54</v>
      </c>
      <c r="E5" s="451" t="s">
        <v>7</v>
      </c>
      <c r="F5" s="450" t="s">
        <v>54</v>
      </c>
      <c r="G5" s="452" t="s">
        <v>7</v>
      </c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</row>
    <row r="6" spans="1:35" s="440" customFormat="1" ht="25.5" customHeight="1">
      <c r="A6" s="455" t="s">
        <v>55</v>
      </c>
      <c r="B6" s="446"/>
      <c r="C6" s="456">
        <v>17</v>
      </c>
      <c r="D6" s="457">
        <v>5</v>
      </c>
      <c r="E6" s="458">
        <f>(D6/C6)*100</f>
        <v>29.411764705882355</v>
      </c>
      <c r="F6" s="457">
        <v>12</v>
      </c>
      <c r="G6" s="458">
        <f aca="true" t="shared" si="0" ref="G6:G17">(F6/C6)*100</f>
        <v>70.58823529411765</v>
      </c>
      <c r="H6" s="461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</row>
    <row r="7" spans="1:35" s="440" customFormat="1" ht="25.5" customHeight="1">
      <c r="A7" s="455" t="s">
        <v>56</v>
      </c>
      <c r="B7" s="446"/>
      <c r="C7" s="456">
        <v>12</v>
      </c>
      <c r="D7" s="457">
        <v>5</v>
      </c>
      <c r="E7" s="458">
        <f aca="true" t="shared" si="1" ref="E7:E17">(D7/C7)*100</f>
        <v>41.66666666666667</v>
      </c>
      <c r="F7" s="457">
        <v>7</v>
      </c>
      <c r="G7" s="458">
        <f t="shared" si="0"/>
        <v>58.333333333333336</v>
      </c>
      <c r="H7" s="461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</row>
    <row r="8" spans="1:35" s="440" customFormat="1" ht="25.5" customHeight="1">
      <c r="A8" s="455" t="s">
        <v>58</v>
      </c>
      <c r="B8" s="446"/>
      <c r="C8" s="456">
        <v>13</v>
      </c>
      <c r="D8" s="457">
        <v>8</v>
      </c>
      <c r="E8" s="458">
        <f t="shared" si="1"/>
        <v>61.53846153846154</v>
      </c>
      <c r="F8" s="457">
        <v>5</v>
      </c>
      <c r="G8" s="458">
        <f t="shared" si="0"/>
        <v>38.46153846153847</v>
      </c>
      <c r="H8" s="461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</row>
    <row r="9" spans="1:35" s="440" customFormat="1" ht="25.5" customHeight="1">
      <c r="A9" s="455" t="s">
        <v>59</v>
      </c>
      <c r="B9" s="446"/>
      <c r="C9" s="456">
        <v>11</v>
      </c>
      <c r="D9" s="457">
        <v>6</v>
      </c>
      <c r="E9" s="458">
        <f t="shared" si="1"/>
        <v>54.54545454545454</v>
      </c>
      <c r="F9" s="457">
        <v>5</v>
      </c>
      <c r="G9" s="458">
        <f t="shared" si="0"/>
        <v>45.45454545454545</v>
      </c>
      <c r="H9" s="461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</row>
    <row r="10" spans="1:35" s="440" customFormat="1" ht="25.5" customHeight="1">
      <c r="A10" s="455" t="s">
        <v>60</v>
      </c>
      <c r="B10" s="446"/>
      <c r="C10" s="456">
        <v>9</v>
      </c>
      <c r="D10" s="457">
        <v>2</v>
      </c>
      <c r="E10" s="458">
        <f t="shared" si="1"/>
        <v>22.22222222222222</v>
      </c>
      <c r="F10" s="457">
        <v>7</v>
      </c>
      <c r="G10" s="458">
        <f t="shared" si="0"/>
        <v>77.77777777777779</v>
      </c>
      <c r="H10" s="461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</row>
    <row r="11" spans="1:35" s="440" customFormat="1" ht="25.5" customHeight="1">
      <c r="A11" s="455" t="s">
        <v>61</v>
      </c>
      <c r="B11" s="446"/>
      <c r="C11" s="456">
        <v>7</v>
      </c>
      <c r="D11" s="457">
        <v>4</v>
      </c>
      <c r="E11" s="458">
        <f t="shared" si="1"/>
        <v>57.14285714285714</v>
      </c>
      <c r="F11" s="457">
        <v>3</v>
      </c>
      <c r="G11" s="458">
        <f t="shared" si="0"/>
        <v>42.857142857142854</v>
      </c>
      <c r="H11" s="461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</row>
    <row r="12" spans="1:35" s="440" customFormat="1" ht="25.5" customHeight="1">
      <c r="A12" s="455" t="s">
        <v>62</v>
      </c>
      <c r="B12" s="446"/>
      <c r="C12" s="456">
        <v>37</v>
      </c>
      <c r="D12" s="457">
        <v>12</v>
      </c>
      <c r="E12" s="458">
        <f t="shared" si="1"/>
        <v>32.432432432432435</v>
      </c>
      <c r="F12" s="457">
        <v>25</v>
      </c>
      <c r="G12" s="458">
        <f t="shared" si="0"/>
        <v>67.56756756756756</v>
      </c>
      <c r="H12" s="461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</row>
    <row r="13" spans="1:35" s="440" customFormat="1" ht="25.5" customHeight="1">
      <c r="A13" s="455" t="s">
        <v>63</v>
      </c>
      <c r="B13" s="446"/>
      <c r="C13" s="456">
        <v>8</v>
      </c>
      <c r="D13" s="457">
        <v>4</v>
      </c>
      <c r="E13" s="458">
        <f t="shared" si="1"/>
        <v>50</v>
      </c>
      <c r="F13" s="457">
        <v>4</v>
      </c>
      <c r="G13" s="458">
        <f t="shared" si="0"/>
        <v>50</v>
      </c>
      <c r="H13" s="461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</row>
    <row r="14" spans="1:35" s="440" customFormat="1" ht="25.5" customHeight="1">
      <c r="A14" s="455" t="s">
        <v>64</v>
      </c>
      <c r="B14" s="446"/>
      <c r="C14" s="456">
        <v>5</v>
      </c>
      <c r="D14" s="457">
        <v>3</v>
      </c>
      <c r="E14" s="465">
        <f t="shared" si="1"/>
        <v>60</v>
      </c>
      <c r="F14" s="457">
        <v>2</v>
      </c>
      <c r="G14" s="465">
        <f t="shared" si="0"/>
        <v>40</v>
      </c>
      <c r="H14" s="461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</row>
    <row r="15" spans="1:35" s="440" customFormat="1" ht="26.25" customHeight="1">
      <c r="A15" s="435" t="s">
        <v>65</v>
      </c>
      <c r="B15" s="436"/>
      <c r="C15" s="587">
        <f>SUM(C6:C14)</f>
        <v>119</v>
      </c>
      <c r="D15" s="467">
        <f>SUM(D6:D14)</f>
        <v>49</v>
      </c>
      <c r="E15" s="468">
        <f t="shared" si="1"/>
        <v>41.17647058823529</v>
      </c>
      <c r="F15" s="469">
        <f>SUM(F6:F14)</f>
        <v>70</v>
      </c>
      <c r="G15" s="468">
        <f t="shared" si="0"/>
        <v>58.82352941176471</v>
      </c>
      <c r="H15" s="461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</row>
    <row r="16" spans="1:35" s="440" customFormat="1" ht="26.25" customHeight="1">
      <c r="A16" s="455" t="s">
        <v>66</v>
      </c>
      <c r="B16" s="446"/>
      <c r="C16" s="464">
        <v>5</v>
      </c>
      <c r="D16" s="471">
        <v>0</v>
      </c>
      <c r="E16" s="466">
        <v>0</v>
      </c>
      <c r="F16" s="472">
        <v>5</v>
      </c>
      <c r="G16" s="465">
        <f t="shared" si="0"/>
        <v>100</v>
      </c>
      <c r="H16" s="461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</row>
    <row r="17" spans="1:35" s="440" customFormat="1" ht="28.5" customHeight="1">
      <c r="A17" s="475" t="s">
        <v>67</v>
      </c>
      <c r="B17" s="476"/>
      <c r="C17" s="477">
        <f>D17+F17</f>
        <v>124</v>
      </c>
      <c r="D17" s="478">
        <f>SUM(D15+D16)</f>
        <v>49</v>
      </c>
      <c r="E17" s="465">
        <f t="shared" si="1"/>
        <v>39.516129032258064</v>
      </c>
      <c r="F17" s="478">
        <f>SUM(F15+F16)</f>
        <v>75</v>
      </c>
      <c r="G17" s="465">
        <f t="shared" si="0"/>
        <v>60.483870967741936</v>
      </c>
      <c r="H17" s="461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</row>
    <row r="18" spans="8:35" s="440" customFormat="1" ht="32.25" customHeight="1"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</row>
    <row r="19" spans="1:35" s="432" customFormat="1" ht="15" customHeight="1">
      <c r="A19" s="1102" t="s">
        <v>342</v>
      </c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</row>
    <row r="20" spans="8:35" s="440" customFormat="1" ht="17.25" customHeight="1"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5" s="440" customFormat="1" ht="21.75" customHeight="1">
      <c r="A21" s="435"/>
      <c r="B21" s="436"/>
      <c r="C21" s="1480" t="s">
        <v>139</v>
      </c>
      <c r="D21" s="437" t="s">
        <v>136</v>
      </c>
      <c r="E21" s="437"/>
      <c r="F21" s="437"/>
      <c r="G21" s="438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39"/>
      <c r="AE21" s="439"/>
      <c r="AF21" s="439"/>
      <c r="AG21" s="439"/>
      <c r="AH21" s="439"/>
      <c r="AI21" s="439"/>
    </row>
    <row r="22" spans="1:35" s="440" customFormat="1" ht="21.75" customHeight="1">
      <c r="A22" s="441" t="s">
        <v>31</v>
      </c>
      <c r="B22" s="442"/>
      <c r="C22" s="1481"/>
      <c r="D22" s="1525" t="s">
        <v>165</v>
      </c>
      <c r="E22" s="1526"/>
      <c r="F22" s="443" t="s">
        <v>167</v>
      </c>
      <c r="G22" s="438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</row>
    <row r="23" spans="1:35" s="440" customFormat="1" ht="21.75" customHeight="1">
      <c r="A23" s="448"/>
      <c r="B23" s="449"/>
      <c r="C23" s="1482"/>
      <c r="D23" s="450" t="s">
        <v>54</v>
      </c>
      <c r="E23" s="451" t="s">
        <v>7</v>
      </c>
      <c r="F23" s="450" t="s">
        <v>54</v>
      </c>
      <c r="G23" s="452" t="s">
        <v>7</v>
      </c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</row>
    <row r="24" spans="1:35" s="440" customFormat="1" ht="28.5" customHeight="1">
      <c r="A24" s="455" t="s">
        <v>32</v>
      </c>
      <c r="B24" s="446"/>
      <c r="C24" s="456">
        <v>43</v>
      </c>
      <c r="D24" s="457">
        <v>19</v>
      </c>
      <c r="E24" s="481">
        <f aca="true" t="shared" si="2" ref="E24:E29">(D24/C24)*100</f>
        <v>44.18604651162791</v>
      </c>
      <c r="F24" s="457">
        <v>24</v>
      </c>
      <c r="G24" s="481">
        <f aca="true" t="shared" si="3" ref="G24:G29">(F24/C24)*100</f>
        <v>55.81395348837209</v>
      </c>
      <c r="H24" s="483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</row>
    <row r="25" spans="1:35" s="440" customFormat="1" ht="31.5" customHeight="1">
      <c r="A25" s="1478" t="s">
        <v>33</v>
      </c>
      <c r="B25" s="1479"/>
      <c r="C25" s="456">
        <v>33</v>
      </c>
      <c r="D25" s="457">
        <v>15</v>
      </c>
      <c r="E25" s="481">
        <f t="shared" si="2"/>
        <v>45.45454545454545</v>
      </c>
      <c r="F25" s="457">
        <v>18</v>
      </c>
      <c r="G25" s="481">
        <f t="shared" si="3"/>
        <v>54.54545454545454</v>
      </c>
      <c r="H25" s="483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</row>
    <row r="26" spans="1:35" s="440" customFormat="1" ht="31.5" customHeight="1">
      <c r="A26" s="455" t="s">
        <v>34</v>
      </c>
      <c r="B26" s="446"/>
      <c r="C26" s="456">
        <v>25</v>
      </c>
      <c r="D26" s="457">
        <v>7</v>
      </c>
      <c r="E26" s="481">
        <f t="shared" si="2"/>
        <v>28.000000000000004</v>
      </c>
      <c r="F26" s="457">
        <v>18</v>
      </c>
      <c r="G26" s="481">
        <f t="shared" si="3"/>
        <v>72</v>
      </c>
      <c r="H26" s="483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</row>
    <row r="27" spans="1:35" s="440" customFormat="1" ht="31.5" customHeight="1">
      <c r="A27" s="455" t="s">
        <v>47</v>
      </c>
      <c r="B27" s="485"/>
      <c r="C27" s="456">
        <v>18</v>
      </c>
      <c r="D27" s="457">
        <v>8</v>
      </c>
      <c r="E27" s="481">
        <f t="shared" si="2"/>
        <v>44.44444444444444</v>
      </c>
      <c r="F27" s="457">
        <v>10</v>
      </c>
      <c r="G27" s="481">
        <f t="shared" si="3"/>
        <v>55.55555555555556</v>
      </c>
      <c r="H27" s="483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</row>
    <row r="28" spans="1:35" s="440" customFormat="1" ht="31.5" customHeight="1">
      <c r="A28" s="389" t="s">
        <v>466</v>
      </c>
      <c r="B28" s="446"/>
      <c r="C28" s="464">
        <v>5</v>
      </c>
      <c r="D28" s="486">
        <v>0</v>
      </c>
      <c r="E28" s="487">
        <v>0</v>
      </c>
      <c r="F28" s="478">
        <v>5</v>
      </c>
      <c r="G28" s="488">
        <f t="shared" si="3"/>
        <v>100</v>
      </c>
      <c r="H28" s="483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</row>
    <row r="29" spans="1:35" s="440" customFormat="1" ht="39" customHeight="1">
      <c r="A29" s="475" t="s">
        <v>48</v>
      </c>
      <c r="B29" s="476"/>
      <c r="C29" s="464">
        <f>D29+F29</f>
        <v>124</v>
      </c>
      <c r="D29" s="472">
        <f>SUM(D24:D28)</f>
        <v>49</v>
      </c>
      <c r="E29" s="489">
        <f t="shared" si="2"/>
        <v>39.516129032258064</v>
      </c>
      <c r="F29" s="478">
        <f>SUM(F24:F28)</f>
        <v>75</v>
      </c>
      <c r="G29" s="488">
        <f t="shared" si="3"/>
        <v>60.483870967741936</v>
      </c>
      <c r="H29" s="483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</row>
    <row r="30" spans="1:35" s="440" customFormat="1" ht="19.5" customHeight="1">
      <c r="A30" s="446"/>
      <c r="B30" s="446"/>
      <c r="C30" s="864"/>
      <c r="D30" s="864"/>
      <c r="E30" s="865"/>
      <c r="F30" s="864"/>
      <c r="G30" s="865"/>
      <c r="H30" s="483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</row>
    <row r="31" ht="17.25" customHeight="1">
      <c r="A31" s="491"/>
    </row>
    <row r="32" s="1261" customFormat="1" ht="15" customHeight="1">
      <c r="A32" s="1261" t="s">
        <v>454</v>
      </c>
    </row>
    <row r="33" spans="1:9" s="492" customFormat="1" ht="15" customHeight="1">
      <c r="A33" s="1527" t="s">
        <v>168</v>
      </c>
      <c r="B33" s="1477"/>
      <c r="C33" s="1477"/>
      <c r="D33" s="1477"/>
      <c r="E33" s="1477"/>
      <c r="F33" s="1477"/>
      <c r="G33" s="1477"/>
      <c r="H33" s="1295"/>
      <c r="I33" s="1295"/>
    </row>
    <row r="34" spans="1:7" s="492" customFormat="1" ht="18" customHeight="1">
      <c r="A34" s="434"/>
      <c r="B34" s="434"/>
      <c r="C34" s="493"/>
      <c r="D34" s="493"/>
      <c r="E34" s="493"/>
      <c r="F34" s="493"/>
      <c r="G34" s="493"/>
    </row>
  </sheetData>
  <sheetProtection/>
  <mergeCells count="6">
    <mergeCell ref="C3:C5"/>
    <mergeCell ref="D4:E4"/>
    <mergeCell ref="A25:B25"/>
    <mergeCell ref="A33:I33"/>
    <mergeCell ref="C21:C23"/>
    <mergeCell ref="D22:E22"/>
  </mergeCells>
  <printOptions horizontalCentered="1"/>
  <pageMargins left="0.5" right="0.25" top="0.5" bottom="0.31" header="0.35" footer="0"/>
  <pageSetup horizontalDpi="300" verticalDpi="300" orientation="portrait" paperSize="9" scale="92" r:id="rId1"/>
  <headerFooter alignWithMargins="0">
    <oddHeader>&amp;C&amp;"Times New Roman,Regular"&amp;11- 24 -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81"/>
  <sheetViews>
    <sheetView zoomScalePageLayoutView="0" workbookViewId="0" topLeftCell="A1">
      <pane xSplit="1" ySplit="4" topLeftCell="D5" activePane="bottomRight" state="frozen"/>
      <selection pane="topLeft" activeCell="B12" sqref="B12:H12"/>
      <selection pane="topRight" activeCell="B12" sqref="B12:H12"/>
      <selection pane="bottomLeft" activeCell="B12" sqref="B12:H12"/>
      <selection pane="bottomRight" activeCell="A30" sqref="A30"/>
    </sheetView>
  </sheetViews>
  <sheetFormatPr defaultColWidth="9.140625" defaultRowHeight="12.75"/>
  <cols>
    <col min="1" max="1" width="46.00390625" style="13" customWidth="1"/>
    <col min="2" max="2" width="0" style="1042" hidden="1" customWidth="1"/>
    <col min="3" max="3" width="10.140625" style="1042" hidden="1" customWidth="1"/>
    <col min="4" max="7" width="9.140625" style="1042" customWidth="1"/>
    <col min="8" max="8" width="9.57421875" style="13" bestFit="1" customWidth="1"/>
    <col min="9" max="16384" width="9.140625" style="13" customWidth="1"/>
  </cols>
  <sheetData>
    <row r="2" ht="15">
      <c r="A2" s="2" t="s">
        <v>388</v>
      </c>
    </row>
    <row r="4" spans="1:10" ht="20.25" customHeight="1">
      <c r="A4" s="2"/>
      <c r="B4" s="1041">
        <v>2004</v>
      </c>
      <c r="C4" s="1041">
        <v>2005</v>
      </c>
      <c r="D4" s="1041">
        <v>2006</v>
      </c>
      <c r="E4" s="1041">
        <v>2007</v>
      </c>
      <c r="F4" s="1041">
        <v>2008</v>
      </c>
      <c r="G4" s="1041">
        <v>2009</v>
      </c>
      <c r="H4" s="1041">
        <v>2010</v>
      </c>
      <c r="I4" s="2"/>
      <c r="J4" s="2"/>
    </row>
    <row r="5" spans="1:10" ht="15">
      <c r="A5" s="7" t="s">
        <v>296</v>
      </c>
      <c r="B5" s="1"/>
      <c r="C5" s="1"/>
      <c r="D5" s="1"/>
      <c r="E5" s="1"/>
      <c r="F5" s="1"/>
      <c r="G5" s="1"/>
      <c r="H5" s="1"/>
      <c r="I5" s="2"/>
      <c r="J5" s="2"/>
    </row>
    <row r="6" spans="1:10" ht="18.75" customHeight="1">
      <c r="A6" s="1031" t="s">
        <v>297</v>
      </c>
      <c r="B6" s="1043">
        <v>1070</v>
      </c>
      <c r="C6" s="1043">
        <v>1072</v>
      </c>
      <c r="D6" s="1043">
        <v>1087</v>
      </c>
      <c r="E6" s="1043">
        <v>1076</v>
      </c>
      <c r="F6" s="1043">
        <v>1070</v>
      </c>
      <c r="G6" s="1043">
        <v>1057</v>
      </c>
      <c r="H6" s="1043">
        <v>1048</v>
      </c>
      <c r="I6" s="2"/>
      <c r="J6" s="2"/>
    </row>
    <row r="7" spans="1:10" ht="18.75" customHeight="1">
      <c r="A7" s="1032" t="s">
        <v>171</v>
      </c>
      <c r="B7" s="1044">
        <v>37483</v>
      </c>
      <c r="C7" s="1044">
        <v>37356</v>
      </c>
      <c r="D7" s="1044">
        <v>37129</v>
      </c>
      <c r="E7" s="1044">
        <v>36467</v>
      </c>
      <c r="F7" s="1044">
        <v>36242</v>
      </c>
      <c r="G7" s="1044">
        <v>35974</v>
      </c>
      <c r="H7" s="1044">
        <v>34289</v>
      </c>
      <c r="I7" s="2"/>
      <c r="J7" s="2"/>
    </row>
    <row r="8" spans="1:10" ht="18.75" customHeight="1">
      <c r="A8" s="1032" t="s">
        <v>298</v>
      </c>
      <c r="B8" s="1044">
        <v>2474</v>
      </c>
      <c r="C8" s="1044">
        <v>2501</v>
      </c>
      <c r="D8" s="1044">
        <v>2527</v>
      </c>
      <c r="E8" s="1044">
        <v>2513</v>
      </c>
      <c r="F8" s="1044">
        <v>2541</v>
      </c>
      <c r="G8" s="1044">
        <v>2518</v>
      </c>
      <c r="H8" s="1044">
        <v>2313</v>
      </c>
      <c r="I8" s="2"/>
      <c r="J8" s="2"/>
    </row>
    <row r="9" spans="1:10" ht="18.75" customHeight="1">
      <c r="A9" s="1032" t="s">
        <v>311</v>
      </c>
      <c r="B9" s="1045">
        <v>96</v>
      </c>
      <c r="C9" s="1045">
        <v>94</v>
      </c>
      <c r="D9" s="1045">
        <v>95</v>
      </c>
      <c r="E9" s="1045">
        <v>94</v>
      </c>
      <c r="F9" s="1045">
        <v>94</v>
      </c>
      <c r="G9" s="1092">
        <v>96</v>
      </c>
      <c r="H9" s="1092">
        <v>94</v>
      </c>
      <c r="I9" s="2"/>
      <c r="J9" s="2"/>
    </row>
    <row r="10" spans="1:10" ht="18.75" customHeight="1">
      <c r="A10" s="1033" t="s">
        <v>299</v>
      </c>
      <c r="B10" s="1046">
        <v>15</v>
      </c>
      <c r="C10" s="1046">
        <v>15</v>
      </c>
      <c r="D10" s="1046">
        <v>15</v>
      </c>
      <c r="E10" s="1046">
        <v>15</v>
      </c>
      <c r="F10" s="1046">
        <v>14</v>
      </c>
      <c r="G10" s="1046">
        <v>14</v>
      </c>
      <c r="H10" s="1046">
        <v>15</v>
      </c>
      <c r="I10" s="2"/>
      <c r="J10" s="2"/>
    </row>
    <row r="11" spans="2:10" ht="15.75" customHeight="1">
      <c r="B11" s="1"/>
      <c r="C11" s="1"/>
      <c r="D11" s="1"/>
      <c r="E11" s="1"/>
      <c r="F11" s="1"/>
      <c r="G11" s="1"/>
      <c r="H11" s="1"/>
      <c r="I11" s="2"/>
      <c r="J11" s="2"/>
    </row>
    <row r="12" spans="1:10" ht="15">
      <c r="A12" s="7" t="s">
        <v>300</v>
      </c>
      <c r="B12" s="1"/>
      <c r="C12" s="1"/>
      <c r="D12" s="1"/>
      <c r="E12" s="1"/>
      <c r="F12" s="1"/>
      <c r="G12" s="1"/>
      <c r="H12" s="1"/>
      <c r="I12" s="2"/>
      <c r="J12" s="2"/>
    </row>
    <row r="13" spans="1:10" ht="18.75" customHeight="1">
      <c r="A13" s="1031" t="s">
        <v>297</v>
      </c>
      <c r="B13" s="1047">
        <v>289</v>
      </c>
      <c r="C13" s="1047">
        <v>291</v>
      </c>
      <c r="D13" s="1047">
        <v>290</v>
      </c>
      <c r="E13" s="1047">
        <v>289</v>
      </c>
      <c r="F13" s="1047">
        <v>299</v>
      </c>
      <c r="G13" s="1047">
        <v>302</v>
      </c>
      <c r="H13" s="1047">
        <v>305</v>
      </c>
      <c r="I13" s="2"/>
      <c r="J13" s="2"/>
    </row>
    <row r="14" spans="1:10" ht="18.75" customHeight="1">
      <c r="A14" s="1032" t="s">
        <v>171</v>
      </c>
      <c r="B14" s="1044">
        <v>126226</v>
      </c>
      <c r="C14" s="1044">
        <v>123562</v>
      </c>
      <c r="D14" s="1044">
        <v>121387</v>
      </c>
      <c r="E14" s="1044">
        <v>119310</v>
      </c>
      <c r="F14" s="1044">
        <v>119022</v>
      </c>
      <c r="G14" s="1044">
        <v>117922</v>
      </c>
      <c r="H14" s="1044">
        <v>117427</v>
      </c>
      <c r="I14" s="2"/>
      <c r="J14" s="2"/>
    </row>
    <row r="15" spans="1:10" ht="18.75" customHeight="1">
      <c r="A15" s="1032" t="s">
        <v>298</v>
      </c>
      <c r="B15" s="1044">
        <v>5741</v>
      </c>
      <c r="C15" s="1044">
        <v>5531</v>
      </c>
      <c r="D15" s="1044">
        <v>5598</v>
      </c>
      <c r="E15" s="1044">
        <v>5548</v>
      </c>
      <c r="F15" s="1044">
        <v>5495</v>
      </c>
      <c r="G15" s="1044">
        <f>4080+1374</f>
        <v>5454</v>
      </c>
      <c r="H15" s="1044">
        <f>4126+1309</f>
        <v>5435</v>
      </c>
      <c r="I15" s="1095"/>
      <c r="J15" s="2"/>
    </row>
    <row r="16" spans="1:10" ht="18.75" customHeight="1">
      <c r="A16" s="1032" t="s">
        <v>311</v>
      </c>
      <c r="B16" s="1045">
        <v>102</v>
      </c>
      <c r="C16" s="1045">
        <v>102</v>
      </c>
      <c r="D16" s="1045">
        <v>102</v>
      </c>
      <c r="E16" s="1045">
        <v>101</v>
      </c>
      <c r="F16" s="1045">
        <v>101</v>
      </c>
      <c r="G16" s="1045">
        <v>101</v>
      </c>
      <c r="H16" s="1092">
        <v>101</v>
      </c>
      <c r="I16" s="2"/>
      <c r="J16" s="2"/>
    </row>
    <row r="17" spans="1:10" ht="18.75" customHeight="1">
      <c r="A17" s="1032" t="s">
        <v>299</v>
      </c>
      <c r="B17" s="1045">
        <v>29</v>
      </c>
      <c r="C17" s="1045">
        <v>30</v>
      </c>
      <c r="D17" s="1045">
        <v>29</v>
      </c>
      <c r="E17" s="1045">
        <v>28</v>
      </c>
      <c r="F17" s="1045">
        <v>29</v>
      </c>
      <c r="G17" s="1045">
        <v>29</v>
      </c>
      <c r="H17" s="1045">
        <v>28</v>
      </c>
      <c r="I17" s="2"/>
      <c r="J17" s="2"/>
    </row>
    <row r="18" spans="1:10" ht="18.75" customHeight="1">
      <c r="A18" s="1034" t="s">
        <v>321</v>
      </c>
      <c r="B18" s="1048">
        <v>79</v>
      </c>
      <c r="C18" s="1048">
        <v>81</v>
      </c>
      <c r="D18" s="1048">
        <v>84</v>
      </c>
      <c r="E18" s="1048">
        <v>81</v>
      </c>
      <c r="F18" s="1096">
        <v>82</v>
      </c>
      <c r="G18" s="1096">
        <v>82</v>
      </c>
      <c r="H18" s="1096" t="s">
        <v>301</v>
      </c>
      <c r="I18" s="2"/>
      <c r="J18" s="2"/>
    </row>
    <row r="19" spans="1:10" ht="18.75" customHeight="1">
      <c r="A19" s="1035" t="s">
        <v>468</v>
      </c>
      <c r="B19" s="1049">
        <v>63</v>
      </c>
      <c r="C19" s="1049">
        <v>64.9</v>
      </c>
      <c r="D19" s="1049">
        <v>67.9</v>
      </c>
      <c r="E19" s="1049">
        <v>66.2</v>
      </c>
      <c r="F19" s="1046">
        <v>67.4</v>
      </c>
      <c r="G19" s="1203">
        <v>68.1</v>
      </c>
      <c r="H19" s="1054" t="s">
        <v>301</v>
      </c>
      <c r="I19" s="2"/>
      <c r="J19" s="2"/>
    </row>
    <row r="20" spans="1:10" ht="15.75" customHeight="1">
      <c r="A20" s="2"/>
      <c r="B20" s="1"/>
      <c r="C20" s="1"/>
      <c r="D20" s="1"/>
      <c r="E20" s="1"/>
      <c r="F20" s="1"/>
      <c r="G20" s="1"/>
      <c r="H20" s="1"/>
      <c r="I20" s="2"/>
      <c r="J20" s="2"/>
    </row>
    <row r="21" spans="1:10" ht="15">
      <c r="A21" s="7" t="s">
        <v>302</v>
      </c>
      <c r="B21" s="1"/>
      <c r="C21" s="1"/>
      <c r="D21" s="1"/>
      <c r="E21" s="1"/>
      <c r="F21" s="1"/>
      <c r="G21" s="1"/>
      <c r="H21" s="1"/>
      <c r="I21" s="2"/>
      <c r="J21" s="2"/>
    </row>
    <row r="22" spans="1:10" ht="18.75" customHeight="1">
      <c r="A22" s="1031" t="s">
        <v>297</v>
      </c>
      <c r="B22" s="1050">
        <f>176+13</f>
        <v>189</v>
      </c>
      <c r="C22" s="1050">
        <f>188+8</f>
        <v>196</v>
      </c>
      <c r="D22" s="1050">
        <f>189+7</f>
        <v>196</v>
      </c>
      <c r="E22" s="1047">
        <f>186+7</f>
        <v>193</v>
      </c>
      <c r="F22" s="1047">
        <f>180+7</f>
        <v>187</v>
      </c>
      <c r="G22" s="1047">
        <v>185</v>
      </c>
      <c r="H22" s="1047">
        <v>182</v>
      </c>
      <c r="I22" s="2"/>
      <c r="J22" s="2"/>
    </row>
    <row r="23" spans="1:10" ht="18.75" customHeight="1">
      <c r="A23" s="1032" t="s">
        <v>171</v>
      </c>
      <c r="B23" s="1044">
        <f>'[1]Republic'!$G$39+'[1]Republic'!$G$55</f>
        <v>114476</v>
      </c>
      <c r="C23" s="1044">
        <f>'[1]Republic'!$H$39+'[1]Republic'!$H$55</f>
        <v>120132</v>
      </c>
      <c r="D23" s="1044">
        <f>'[1]Republic'!$I$39+'[1]Republic'!$I$55</f>
        <v>125081</v>
      </c>
      <c r="E23" s="1044">
        <f>116706+9573</f>
        <v>126279</v>
      </c>
      <c r="F23" s="1044">
        <f>116503+8495</f>
        <v>124998</v>
      </c>
      <c r="G23" s="1091">
        <v>124259</v>
      </c>
      <c r="H23" s="1091">
        <v>122321</v>
      </c>
      <c r="I23" s="2"/>
      <c r="J23" s="2"/>
    </row>
    <row r="24" spans="1:10" ht="18.75" customHeight="1">
      <c r="A24" s="1032" t="s">
        <v>298</v>
      </c>
      <c r="B24" s="1044">
        <f>6396+578</f>
        <v>6974</v>
      </c>
      <c r="C24" s="1044">
        <f>6785+648</f>
        <v>7433</v>
      </c>
      <c r="D24" s="1044">
        <f>7079+682</f>
        <v>7761</v>
      </c>
      <c r="E24" s="1044">
        <f>7423+701</f>
        <v>8124</v>
      </c>
      <c r="F24" s="1044">
        <f>7408+645</f>
        <v>8053</v>
      </c>
      <c r="G24" s="1044">
        <v>8186</v>
      </c>
      <c r="H24" s="1044">
        <v>8323</v>
      </c>
      <c r="I24" s="2"/>
      <c r="J24" s="2"/>
    </row>
    <row r="25" spans="1:10" ht="18.75" customHeight="1">
      <c r="A25" s="1032" t="s">
        <v>311</v>
      </c>
      <c r="B25" s="1045">
        <v>71</v>
      </c>
      <c r="C25" s="1045">
        <v>73</v>
      </c>
      <c r="D25" s="1045">
        <v>75</v>
      </c>
      <c r="E25" s="1045">
        <v>74</v>
      </c>
      <c r="F25" s="1051">
        <f>F23/169978*100</f>
        <v>73.53775194436926</v>
      </c>
      <c r="G25" s="1093">
        <v>73</v>
      </c>
      <c r="H25" s="1093">
        <v>73</v>
      </c>
      <c r="I25" s="2"/>
      <c r="J25" s="2"/>
    </row>
    <row r="26" spans="1:10" ht="18.75" customHeight="1">
      <c r="A26" s="1034" t="s">
        <v>299</v>
      </c>
      <c r="B26" s="1052">
        <f>B23/B24</f>
        <v>16.414683108689417</v>
      </c>
      <c r="C26" s="1052">
        <f>C23/C24</f>
        <v>16.16198035786358</v>
      </c>
      <c r="D26" s="1052">
        <f>D23/D24</f>
        <v>16.11660868444788</v>
      </c>
      <c r="E26" s="1052">
        <f>E23/E24</f>
        <v>15.543943870014772</v>
      </c>
      <c r="F26" s="1052">
        <f>F23/F24</f>
        <v>15.521917297901403</v>
      </c>
      <c r="G26" s="1094">
        <v>15</v>
      </c>
      <c r="H26" s="1094">
        <v>15</v>
      </c>
      <c r="I26" s="2"/>
      <c r="J26" s="2"/>
    </row>
    <row r="27" spans="1:10" ht="17.25" customHeight="1">
      <c r="A27" s="1032" t="s">
        <v>470</v>
      </c>
      <c r="B27" s="1045">
        <v>77.5</v>
      </c>
      <c r="C27" s="1045">
        <v>78.4</v>
      </c>
      <c r="D27" s="1045">
        <v>78.9</v>
      </c>
      <c r="E27" s="1045">
        <v>76.7</v>
      </c>
      <c r="F27" s="1045">
        <v>76.5</v>
      </c>
      <c r="G27" s="1092">
        <v>77.6</v>
      </c>
      <c r="H27" s="1092" t="s">
        <v>301</v>
      </c>
      <c r="I27" s="2"/>
      <c r="J27" s="2"/>
    </row>
    <row r="28" spans="1:10" ht="18.75" customHeight="1">
      <c r="A28" s="1033" t="s">
        <v>469</v>
      </c>
      <c r="B28" s="1046">
        <v>76.2</v>
      </c>
      <c r="C28" s="1046">
        <v>78.2</v>
      </c>
      <c r="D28" s="1046">
        <v>79.3</v>
      </c>
      <c r="E28" s="1046">
        <v>77.8</v>
      </c>
      <c r="F28" s="1046">
        <v>78.7</v>
      </c>
      <c r="G28" s="1054">
        <v>78.8</v>
      </c>
      <c r="H28" s="1054" t="s">
        <v>301</v>
      </c>
      <c r="I28" s="2"/>
      <c r="J28" s="2"/>
    </row>
    <row r="29" spans="1:10" ht="15.75" customHeight="1">
      <c r="A29" s="2"/>
      <c r="B29" s="1"/>
      <c r="C29" s="1"/>
      <c r="D29" s="1"/>
      <c r="E29" s="1"/>
      <c r="F29" s="1"/>
      <c r="G29" s="1"/>
      <c r="H29" s="1"/>
      <c r="I29" s="2"/>
      <c r="J29" s="2"/>
    </row>
    <row r="30" spans="1:10" ht="17.25">
      <c r="A30" s="7" t="s">
        <v>319</v>
      </c>
      <c r="B30" s="1"/>
      <c r="C30" s="1"/>
      <c r="D30" s="1"/>
      <c r="E30" s="1"/>
      <c r="F30" s="1"/>
      <c r="G30" s="1"/>
      <c r="H30" s="1"/>
      <c r="I30" s="2"/>
      <c r="J30" s="2"/>
    </row>
    <row r="31" spans="1:10" ht="18.75" customHeight="1">
      <c r="A31" s="1031" t="s">
        <v>171</v>
      </c>
      <c r="B31" s="1043">
        <v>26074</v>
      </c>
      <c r="C31" s="1043">
        <v>28864</v>
      </c>
      <c r="D31" s="1043">
        <v>33230</v>
      </c>
      <c r="E31" s="1043">
        <v>35023</v>
      </c>
      <c r="F31" s="1043">
        <v>38623</v>
      </c>
      <c r="G31" s="1043">
        <v>41484</v>
      </c>
      <c r="H31" s="1050" t="s">
        <v>301</v>
      </c>
      <c r="I31" s="2"/>
      <c r="J31" s="2"/>
    </row>
    <row r="32" spans="1:10" ht="18.75" customHeight="1">
      <c r="A32" s="1033" t="s">
        <v>311</v>
      </c>
      <c r="B32" s="1053">
        <v>24</v>
      </c>
      <c r="C32" s="1053">
        <v>28</v>
      </c>
      <c r="D32" s="1053">
        <v>34</v>
      </c>
      <c r="E32" s="1053">
        <v>37</v>
      </c>
      <c r="F32" s="1054">
        <v>41</v>
      </c>
      <c r="G32" s="1054">
        <v>43</v>
      </c>
      <c r="H32" s="1054" t="s">
        <v>301</v>
      </c>
      <c r="I32" s="2"/>
      <c r="J32" s="2"/>
    </row>
    <row r="33" spans="1:10" ht="20.25" customHeight="1">
      <c r="A33" s="1036" t="s">
        <v>320</v>
      </c>
      <c r="B33" s="1"/>
      <c r="C33" s="1"/>
      <c r="D33" s="1"/>
      <c r="E33" s="1"/>
      <c r="F33" s="1"/>
      <c r="G33" s="1"/>
      <c r="H33" s="1"/>
      <c r="I33" s="2"/>
      <c r="J33" s="2"/>
    </row>
    <row r="34" spans="1:10" ht="12" customHeight="1">
      <c r="A34" s="2"/>
      <c r="B34" s="1"/>
      <c r="C34" s="1"/>
      <c r="D34" s="1"/>
      <c r="E34" s="1"/>
      <c r="F34" s="1"/>
      <c r="G34" s="1"/>
      <c r="H34" s="1"/>
      <c r="I34" s="2"/>
      <c r="J34" s="2"/>
    </row>
    <row r="35" spans="1:10" ht="12" customHeight="1">
      <c r="A35" s="7"/>
      <c r="B35" s="1"/>
      <c r="C35" s="1"/>
      <c r="D35" s="1"/>
      <c r="E35" s="1"/>
      <c r="F35" s="1"/>
      <c r="G35" s="1"/>
      <c r="H35" s="1"/>
      <c r="I35" s="2"/>
      <c r="J35" s="2"/>
    </row>
    <row r="36" spans="1:10" ht="18.75" customHeight="1">
      <c r="A36" s="7" t="s">
        <v>435</v>
      </c>
      <c r="B36" s="1"/>
      <c r="C36" s="1"/>
      <c r="D36" s="1041" t="s">
        <v>431</v>
      </c>
      <c r="E36" s="1041" t="s">
        <v>432</v>
      </c>
      <c r="F36" s="1041" t="s">
        <v>433</v>
      </c>
      <c r="G36" s="1041" t="s">
        <v>434</v>
      </c>
      <c r="H36" s="1041">
        <v>2010</v>
      </c>
      <c r="I36" s="2"/>
      <c r="J36" s="2"/>
    </row>
    <row r="37" spans="1:10" ht="25.5" customHeight="1">
      <c r="A37" s="1038" t="s">
        <v>312</v>
      </c>
      <c r="B37" s="1055">
        <v>45307.8</v>
      </c>
      <c r="C37" s="1055">
        <v>48394</v>
      </c>
      <c r="D37" s="1055">
        <v>53609.9</v>
      </c>
      <c r="E37" s="1055">
        <v>56315</v>
      </c>
      <c r="F37" s="1055">
        <v>61544</v>
      </c>
      <c r="G37" s="1097">
        <v>76215.2</v>
      </c>
      <c r="H37" s="1097">
        <v>85348.2</v>
      </c>
      <c r="I37" s="2"/>
      <c r="J37" s="2"/>
    </row>
    <row r="38" spans="1:10" ht="29.25" customHeight="1">
      <c r="A38" s="1040" t="s">
        <v>313</v>
      </c>
      <c r="B38" s="1056">
        <v>6227.7</v>
      </c>
      <c r="C38" s="1056">
        <v>6819.8</v>
      </c>
      <c r="D38" s="1056">
        <v>7266.6</v>
      </c>
      <c r="E38" s="1056">
        <v>7606.7</v>
      </c>
      <c r="F38" s="1056">
        <v>8326.8</v>
      </c>
      <c r="G38" s="1098">
        <v>10625</v>
      </c>
      <c r="H38" s="1098">
        <v>11571.2</v>
      </c>
      <c r="I38" s="2"/>
      <c r="J38" s="2"/>
    </row>
    <row r="39" spans="1:10" ht="30">
      <c r="A39" s="1039" t="s">
        <v>303</v>
      </c>
      <c r="B39" s="1057">
        <v>3.8</v>
      </c>
      <c r="C39" s="1057">
        <v>3.8</v>
      </c>
      <c r="D39" s="1057">
        <v>3.7</v>
      </c>
      <c r="E39" s="1057">
        <v>3.5</v>
      </c>
      <c r="F39" s="1057">
        <v>3.3</v>
      </c>
      <c r="G39" s="1099">
        <v>3.9</v>
      </c>
      <c r="H39" s="1204">
        <v>4</v>
      </c>
      <c r="I39" s="2"/>
      <c r="J39" s="2"/>
    </row>
    <row r="40" spans="1:10" ht="31.5" customHeight="1">
      <c r="A40" s="1037" t="s">
        <v>304</v>
      </c>
      <c r="B40" s="1046">
        <v>13.7</v>
      </c>
      <c r="C40" s="1046">
        <v>14.1</v>
      </c>
      <c r="D40" s="1049">
        <v>13.6</v>
      </c>
      <c r="E40" s="1046">
        <v>13.5</v>
      </c>
      <c r="F40" s="1046">
        <v>13.5</v>
      </c>
      <c r="G40" s="1054">
        <v>13.9</v>
      </c>
      <c r="H40" s="1054">
        <v>13.6</v>
      </c>
      <c r="I40" s="2"/>
      <c r="J40" s="2"/>
    </row>
    <row r="41" spans="1:10" ht="22.5" customHeight="1">
      <c r="A41" s="334" t="s">
        <v>436</v>
      </c>
      <c r="B41" s="1"/>
      <c r="C41" s="1"/>
      <c r="D41" s="1"/>
      <c r="E41" s="1"/>
      <c r="F41" s="1"/>
      <c r="G41" s="1"/>
      <c r="H41" s="2"/>
      <c r="I41" s="2"/>
      <c r="J41" s="2"/>
    </row>
    <row r="42" spans="1:10" ht="18" customHeight="1">
      <c r="A42" s="334" t="s">
        <v>305</v>
      </c>
      <c r="B42" s="1"/>
      <c r="C42" s="1"/>
      <c r="D42" s="1"/>
      <c r="E42" s="1"/>
      <c r="F42" s="1"/>
      <c r="G42" s="1"/>
      <c r="H42" s="2"/>
      <c r="I42" s="2"/>
      <c r="J42" s="2"/>
    </row>
    <row r="43" spans="2:10" ht="15">
      <c r="B43" s="1"/>
      <c r="C43" s="1"/>
      <c r="D43" s="1"/>
      <c r="E43" s="1"/>
      <c r="F43" s="1"/>
      <c r="G43" s="1"/>
      <c r="H43" s="2"/>
      <c r="I43" s="2"/>
      <c r="J43" s="2"/>
    </row>
    <row r="44" spans="1:10" ht="15">
      <c r="A44" s="2"/>
      <c r="B44" s="1"/>
      <c r="C44" s="1"/>
      <c r="D44" s="1"/>
      <c r="E44" s="1"/>
      <c r="F44" s="1"/>
      <c r="G44" s="1"/>
      <c r="H44" s="2"/>
      <c r="I44" s="2"/>
      <c r="J44" s="2"/>
    </row>
    <row r="45" spans="1:10" ht="15">
      <c r="A45" s="2"/>
      <c r="B45" s="1"/>
      <c r="C45" s="1"/>
      <c r="D45" s="1"/>
      <c r="E45" s="1"/>
      <c r="F45" s="1"/>
      <c r="G45" s="1"/>
      <c r="H45" s="2"/>
      <c r="I45" s="2"/>
      <c r="J45" s="2"/>
    </row>
    <row r="46" spans="1:10" ht="15">
      <c r="A46" s="2"/>
      <c r="B46" s="1"/>
      <c r="C46" s="1"/>
      <c r="D46" s="1"/>
      <c r="E46" s="1"/>
      <c r="F46" s="1"/>
      <c r="G46" s="1"/>
      <c r="H46" s="2"/>
      <c r="I46" s="2"/>
      <c r="J46" s="2"/>
    </row>
    <row r="47" spans="1:10" ht="15">
      <c r="A47" s="2"/>
      <c r="B47" s="1"/>
      <c r="C47" s="1"/>
      <c r="D47" s="1"/>
      <c r="E47" s="1"/>
      <c r="F47" s="1"/>
      <c r="G47" s="1"/>
      <c r="H47" s="2"/>
      <c r="I47" s="2"/>
      <c r="J47" s="2"/>
    </row>
    <row r="48" spans="1:10" ht="15">
      <c r="A48" s="2"/>
      <c r="B48" s="1"/>
      <c r="C48" s="1"/>
      <c r="D48" s="1"/>
      <c r="E48" s="1"/>
      <c r="F48" s="1"/>
      <c r="G48" s="1"/>
      <c r="H48" s="2"/>
      <c r="I48" s="2"/>
      <c r="J48" s="2"/>
    </row>
    <row r="49" spans="1:10" ht="15">
      <c r="A49" s="2"/>
      <c r="B49" s="1"/>
      <c r="C49" s="1"/>
      <c r="D49" s="1"/>
      <c r="E49" s="1"/>
      <c r="F49" s="1"/>
      <c r="G49" s="1"/>
      <c r="H49" s="2"/>
      <c r="I49" s="2"/>
      <c r="J49" s="2"/>
    </row>
    <row r="50" spans="1:10" ht="15">
      <c r="A50" s="2"/>
      <c r="B50" s="1"/>
      <c r="C50" s="1"/>
      <c r="D50" s="1"/>
      <c r="E50" s="1"/>
      <c r="F50" s="1"/>
      <c r="G50" s="1"/>
      <c r="H50" s="2"/>
      <c r="I50" s="2"/>
      <c r="J50" s="2"/>
    </row>
    <row r="51" spans="1:10" ht="15">
      <c r="A51" s="2"/>
      <c r="B51" s="1"/>
      <c r="C51" s="1"/>
      <c r="D51" s="1"/>
      <c r="E51" s="1"/>
      <c r="F51" s="1"/>
      <c r="G51" s="1"/>
      <c r="H51" s="2"/>
      <c r="I51" s="2"/>
      <c r="J51" s="2"/>
    </row>
    <row r="52" spans="1:10" ht="15">
      <c r="A52" s="2"/>
      <c r="B52" s="1"/>
      <c r="C52" s="1"/>
      <c r="D52" s="1"/>
      <c r="E52" s="1"/>
      <c r="F52" s="1"/>
      <c r="G52" s="1"/>
      <c r="H52" s="2"/>
      <c r="I52" s="2"/>
      <c r="J52" s="2"/>
    </row>
    <row r="53" spans="1:10" ht="15">
      <c r="A53" s="2"/>
      <c r="B53" s="1"/>
      <c r="C53" s="1"/>
      <c r="D53" s="1"/>
      <c r="E53" s="1"/>
      <c r="F53" s="1"/>
      <c r="G53" s="1"/>
      <c r="H53" s="2"/>
      <c r="I53" s="2"/>
      <c r="J53" s="2"/>
    </row>
    <row r="54" spans="1:10" ht="15">
      <c r="A54" s="2"/>
      <c r="B54" s="1"/>
      <c r="C54" s="1"/>
      <c r="D54" s="1"/>
      <c r="E54" s="1"/>
      <c r="F54" s="1"/>
      <c r="G54" s="1"/>
      <c r="H54" s="2"/>
      <c r="I54" s="2"/>
      <c r="J54" s="2"/>
    </row>
    <row r="55" spans="1:10" ht="15">
      <c r="A55" s="2"/>
      <c r="B55" s="1"/>
      <c r="C55" s="1"/>
      <c r="D55" s="1"/>
      <c r="E55" s="1"/>
      <c r="F55" s="1"/>
      <c r="G55" s="1"/>
      <c r="H55" s="2"/>
      <c r="I55" s="2"/>
      <c r="J55" s="2"/>
    </row>
    <row r="56" spans="1:10" ht="15">
      <c r="A56" s="2"/>
      <c r="B56" s="1"/>
      <c r="C56" s="1"/>
      <c r="D56" s="1"/>
      <c r="E56" s="1"/>
      <c r="F56" s="1"/>
      <c r="G56" s="1"/>
      <c r="H56" s="2"/>
      <c r="I56" s="2"/>
      <c r="J56" s="2"/>
    </row>
    <row r="57" spans="1:10" ht="15">
      <c r="A57" s="2"/>
      <c r="B57" s="1"/>
      <c r="C57" s="1"/>
      <c r="D57" s="1"/>
      <c r="E57" s="1"/>
      <c r="F57" s="1"/>
      <c r="G57" s="1"/>
      <c r="H57" s="2"/>
      <c r="I57" s="2"/>
      <c r="J57" s="2"/>
    </row>
    <row r="58" spans="1:10" ht="15">
      <c r="A58" s="2"/>
      <c r="B58" s="1"/>
      <c r="C58" s="1"/>
      <c r="D58" s="1"/>
      <c r="E58" s="1"/>
      <c r="F58" s="1"/>
      <c r="G58" s="1"/>
      <c r="H58" s="2"/>
      <c r="I58" s="2"/>
      <c r="J58" s="2"/>
    </row>
    <row r="59" spans="1:10" ht="15">
      <c r="A59" s="2"/>
      <c r="B59" s="1"/>
      <c r="C59" s="1"/>
      <c r="D59" s="1"/>
      <c r="E59" s="1"/>
      <c r="F59" s="1"/>
      <c r="G59" s="1"/>
      <c r="H59" s="2"/>
      <c r="I59" s="2"/>
      <c r="J59" s="2"/>
    </row>
    <row r="60" spans="1:10" ht="15">
      <c r="A60" s="2"/>
      <c r="B60" s="1"/>
      <c r="C60" s="1"/>
      <c r="D60" s="1"/>
      <c r="E60" s="1"/>
      <c r="F60" s="1"/>
      <c r="G60" s="1"/>
      <c r="H60" s="2"/>
      <c r="I60" s="2"/>
      <c r="J60" s="2"/>
    </row>
    <row r="61" spans="1:10" ht="15">
      <c r="A61" s="2"/>
      <c r="B61" s="1"/>
      <c r="C61" s="1"/>
      <c r="D61" s="1"/>
      <c r="E61" s="1"/>
      <c r="F61" s="1"/>
      <c r="G61" s="1"/>
      <c r="H61" s="2"/>
      <c r="I61" s="2"/>
      <c r="J61" s="2"/>
    </row>
    <row r="62" spans="1:10" ht="15">
      <c r="A62" s="2"/>
      <c r="B62" s="1"/>
      <c r="C62" s="1"/>
      <c r="D62" s="1"/>
      <c r="E62" s="1"/>
      <c r="F62" s="1"/>
      <c r="G62" s="1"/>
      <c r="H62" s="2"/>
      <c r="I62" s="2"/>
      <c r="J62" s="2"/>
    </row>
    <row r="63" spans="1:10" ht="15">
      <c r="A63" s="2"/>
      <c r="B63" s="1"/>
      <c r="C63" s="1"/>
      <c r="D63" s="1"/>
      <c r="E63" s="1"/>
      <c r="F63" s="1"/>
      <c r="G63" s="1"/>
      <c r="H63" s="2"/>
      <c r="I63" s="2"/>
      <c r="J63" s="2"/>
    </row>
    <row r="64" spans="1:10" ht="15">
      <c r="A64" s="2"/>
      <c r="B64" s="1"/>
      <c r="C64" s="1"/>
      <c r="D64" s="1"/>
      <c r="E64" s="1"/>
      <c r="F64" s="1"/>
      <c r="G64" s="1"/>
      <c r="H64" s="2"/>
      <c r="I64" s="2"/>
      <c r="J64" s="2"/>
    </row>
    <row r="65" spans="1:10" ht="15">
      <c r="A65" s="2"/>
      <c r="B65" s="1"/>
      <c r="C65" s="1"/>
      <c r="D65" s="1"/>
      <c r="E65" s="1"/>
      <c r="F65" s="1"/>
      <c r="G65" s="1"/>
      <c r="H65" s="2"/>
      <c r="I65" s="2"/>
      <c r="J65" s="2"/>
    </row>
    <row r="66" spans="1:10" ht="15">
      <c r="A66" s="2"/>
      <c r="B66" s="1"/>
      <c r="C66" s="1"/>
      <c r="D66" s="1"/>
      <c r="E66" s="1"/>
      <c r="F66" s="1"/>
      <c r="G66" s="1"/>
      <c r="H66" s="2"/>
      <c r="I66" s="2"/>
      <c r="J66" s="2"/>
    </row>
    <row r="67" spans="1:10" ht="15">
      <c r="A67" s="2"/>
      <c r="B67" s="1"/>
      <c r="C67" s="1"/>
      <c r="D67" s="1"/>
      <c r="E67" s="1"/>
      <c r="F67" s="1"/>
      <c r="G67" s="1"/>
      <c r="H67" s="2"/>
      <c r="I67" s="2"/>
      <c r="J67" s="2"/>
    </row>
    <row r="68" spans="1:10" ht="15">
      <c r="A68" s="2"/>
      <c r="B68" s="1"/>
      <c r="C68" s="1"/>
      <c r="D68" s="1"/>
      <c r="E68" s="1"/>
      <c r="F68" s="1"/>
      <c r="G68" s="1"/>
      <c r="H68" s="2"/>
      <c r="I68" s="2"/>
      <c r="J68" s="2"/>
    </row>
    <row r="69" spans="1:10" ht="15">
      <c r="A69" s="2"/>
      <c r="B69" s="1"/>
      <c r="C69" s="1"/>
      <c r="D69" s="1"/>
      <c r="E69" s="1"/>
      <c r="F69" s="1"/>
      <c r="G69" s="1"/>
      <c r="H69" s="2"/>
      <c r="I69" s="2"/>
      <c r="J69" s="2"/>
    </row>
    <row r="70" spans="1:10" ht="15">
      <c r="A70" s="2"/>
      <c r="B70" s="1"/>
      <c r="C70" s="1"/>
      <c r="D70" s="1"/>
      <c r="E70" s="1"/>
      <c r="F70" s="1"/>
      <c r="G70" s="1"/>
      <c r="H70" s="2"/>
      <c r="I70" s="2"/>
      <c r="J70" s="2"/>
    </row>
    <row r="71" spans="1:10" ht="15">
      <c r="A71" s="2"/>
      <c r="B71" s="1"/>
      <c r="C71" s="1"/>
      <c r="D71" s="1"/>
      <c r="E71" s="1"/>
      <c r="F71" s="1"/>
      <c r="G71" s="1"/>
      <c r="H71" s="2"/>
      <c r="I71" s="2"/>
      <c r="J71" s="2"/>
    </row>
    <row r="72" spans="1:10" ht="15">
      <c r="A72" s="2"/>
      <c r="B72" s="1"/>
      <c r="C72" s="1"/>
      <c r="D72" s="1"/>
      <c r="E72" s="1"/>
      <c r="F72" s="1"/>
      <c r="G72" s="1"/>
      <c r="H72" s="2"/>
      <c r="I72" s="2"/>
      <c r="J72" s="2"/>
    </row>
    <row r="73" spans="1:10" ht="15">
      <c r="A73" s="2"/>
      <c r="B73" s="1"/>
      <c r="C73" s="1"/>
      <c r="D73" s="1"/>
      <c r="E73" s="1"/>
      <c r="F73" s="1"/>
      <c r="G73" s="1"/>
      <c r="H73" s="2"/>
      <c r="I73" s="2"/>
      <c r="J73" s="2"/>
    </row>
    <row r="74" spans="1:10" ht="15">
      <c r="A74" s="2"/>
      <c r="B74" s="1"/>
      <c r="C74" s="1"/>
      <c r="D74" s="1"/>
      <c r="E74" s="1"/>
      <c r="F74" s="1"/>
      <c r="G74" s="1"/>
      <c r="H74" s="2"/>
      <c r="I74" s="2"/>
      <c r="J74" s="2"/>
    </row>
    <row r="75" spans="1:10" ht="15">
      <c r="A75" s="2"/>
      <c r="B75" s="1"/>
      <c r="C75" s="1"/>
      <c r="D75" s="1"/>
      <c r="E75" s="1"/>
      <c r="F75" s="1"/>
      <c r="G75" s="1"/>
      <c r="H75" s="2"/>
      <c r="I75" s="2"/>
      <c r="J75" s="2"/>
    </row>
    <row r="76" spans="1:10" ht="15">
      <c r="A76" s="2"/>
      <c r="B76" s="1"/>
      <c r="C76" s="1"/>
      <c r="D76" s="1"/>
      <c r="E76" s="1"/>
      <c r="F76" s="1"/>
      <c r="G76" s="1"/>
      <c r="H76" s="2"/>
      <c r="I76" s="2"/>
      <c r="J76" s="2"/>
    </row>
    <row r="77" spans="1:10" ht="15">
      <c r="A77" s="2"/>
      <c r="B77" s="1"/>
      <c r="C77" s="1"/>
      <c r="D77" s="1"/>
      <c r="E77" s="1"/>
      <c r="F77" s="1"/>
      <c r="G77" s="1"/>
      <c r="H77" s="2"/>
      <c r="I77" s="2"/>
      <c r="J77" s="2"/>
    </row>
    <row r="78" spans="1:10" ht="15">
      <c r="A78" s="2"/>
      <c r="B78" s="1"/>
      <c r="C78" s="1"/>
      <c r="D78" s="1"/>
      <c r="E78" s="1"/>
      <c r="F78" s="1"/>
      <c r="G78" s="1"/>
      <c r="H78" s="2"/>
      <c r="I78" s="2"/>
      <c r="J78" s="2"/>
    </row>
    <row r="79" spans="1:10" ht="15">
      <c r="A79" s="2"/>
      <c r="B79" s="1"/>
      <c r="C79" s="1"/>
      <c r="D79" s="1"/>
      <c r="E79" s="1"/>
      <c r="F79" s="1"/>
      <c r="G79" s="1"/>
      <c r="H79" s="2"/>
      <c r="I79" s="2"/>
      <c r="J79" s="2"/>
    </row>
    <row r="80" spans="1:10" ht="15">
      <c r="A80" s="2"/>
      <c r="B80" s="1"/>
      <c r="C80" s="1"/>
      <c r="D80" s="1"/>
      <c r="E80" s="1"/>
      <c r="F80" s="1"/>
      <c r="G80" s="1"/>
      <c r="H80" s="2"/>
      <c r="I80" s="2"/>
      <c r="J80" s="2"/>
    </row>
    <row r="81" spans="1:10" ht="15">
      <c r="A81" s="2"/>
      <c r="B81" s="1"/>
      <c r="C81" s="1"/>
      <c r="D81" s="1"/>
      <c r="E81" s="1"/>
      <c r="F81" s="1"/>
      <c r="G81" s="1"/>
      <c r="H81" s="2"/>
      <c r="I81" s="2"/>
      <c r="J81" s="2"/>
    </row>
  </sheetData>
  <sheetProtection/>
  <printOptions/>
  <pageMargins left="0.75" right="0.25" top="0.5" bottom="0.25" header="0.31" footer="0.24"/>
  <pageSetup horizontalDpi="300" verticalDpi="300" orientation="portrait" paperSize="9" r:id="rId1"/>
  <headerFooter alignWithMargins="0">
    <oddHeader>&amp;C- 7 -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N3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" sqref="A15"/>
    </sheetView>
  </sheetViews>
  <sheetFormatPr defaultColWidth="9.140625" defaultRowHeight="12.75"/>
  <cols>
    <col min="1" max="1" width="26.8515625" style="434" customWidth="1"/>
    <col min="2" max="2" width="2.7109375" style="434" customWidth="1"/>
    <col min="3" max="3" width="7.8515625" style="495" customWidth="1"/>
    <col min="4" max="4" width="8.140625" style="495" customWidth="1"/>
    <col min="5" max="5" width="8.28125" style="495" customWidth="1"/>
    <col min="6" max="7" width="8.00390625" style="495" customWidth="1"/>
    <col min="8" max="8" width="6.7109375" style="495" customWidth="1"/>
    <col min="9" max="10" width="8.140625" style="495" customWidth="1"/>
    <col min="11" max="11" width="8.140625" style="434" customWidth="1"/>
    <col min="41" max="16384" width="9.140625" style="434" customWidth="1"/>
  </cols>
  <sheetData>
    <row r="1" spans="1:40" s="432" customFormat="1" ht="26.25" customHeight="1">
      <c r="A1" s="1282" t="s">
        <v>463</v>
      </c>
      <c r="C1" s="494"/>
      <c r="D1" s="494"/>
      <c r="E1" s="494"/>
      <c r="F1" s="494"/>
      <c r="G1" s="494"/>
      <c r="H1" s="494"/>
      <c r="I1" s="494"/>
      <c r="J1" s="494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</row>
    <row r="2" ht="17.25" customHeight="1"/>
    <row r="3" spans="1:40" s="440" customFormat="1" ht="28.5" customHeight="1">
      <c r="A3" s="1329" t="s">
        <v>15</v>
      </c>
      <c r="B3" s="1331"/>
      <c r="C3" s="1490" t="s">
        <v>74</v>
      </c>
      <c r="D3" s="1491"/>
      <c r="E3" s="1492"/>
      <c r="F3" s="1490" t="s">
        <v>169</v>
      </c>
      <c r="G3" s="1491"/>
      <c r="H3" s="1492"/>
      <c r="I3" s="1490" t="s">
        <v>170</v>
      </c>
      <c r="J3" s="1491"/>
      <c r="K3" s="1492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</row>
    <row r="4" spans="1:40" s="440" customFormat="1" ht="27.75" customHeight="1">
      <c r="A4" s="1335"/>
      <c r="B4" s="1337"/>
      <c r="C4" s="496" t="s">
        <v>5</v>
      </c>
      <c r="D4" s="498" t="s">
        <v>39</v>
      </c>
      <c r="E4" s="499" t="s">
        <v>40</v>
      </c>
      <c r="F4" s="496" t="s">
        <v>5</v>
      </c>
      <c r="G4" s="498" t="s">
        <v>39</v>
      </c>
      <c r="H4" s="497" t="s">
        <v>40</v>
      </c>
      <c r="I4" s="496" t="s">
        <v>5</v>
      </c>
      <c r="J4" s="498" t="s">
        <v>39</v>
      </c>
      <c r="K4" s="497" t="s">
        <v>40</v>
      </c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</row>
    <row r="5" spans="1:40" s="440" customFormat="1" ht="25.5" customHeight="1">
      <c r="A5" s="455" t="s">
        <v>55</v>
      </c>
      <c r="B5" s="446"/>
      <c r="C5" s="588">
        <f>F5+I5</f>
        <v>1093</v>
      </c>
      <c r="D5" s="589">
        <f>G5+J5</f>
        <v>644</v>
      </c>
      <c r="E5" s="590">
        <f>H5+K5</f>
        <v>449</v>
      </c>
      <c r="F5" s="588">
        <f>G5+H5</f>
        <v>247</v>
      </c>
      <c r="G5" s="591">
        <v>146</v>
      </c>
      <c r="H5" s="590">
        <v>101</v>
      </c>
      <c r="I5" s="588">
        <f>J5+K5</f>
        <v>846</v>
      </c>
      <c r="J5" s="591">
        <v>498</v>
      </c>
      <c r="K5" s="592">
        <v>348</v>
      </c>
      <c r="L5" s="439"/>
      <c r="M5" s="461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39"/>
    </row>
    <row r="6" spans="1:40" s="440" customFormat="1" ht="25.5" customHeight="1">
      <c r="A6" s="455" t="s">
        <v>56</v>
      </c>
      <c r="B6" s="446"/>
      <c r="C6" s="588">
        <f aca="true" t="shared" si="0" ref="C6:C13">F6+I6</f>
        <v>742</v>
      </c>
      <c r="D6" s="591">
        <f aca="true" t="shared" si="1" ref="D6:D13">G6+J6</f>
        <v>477</v>
      </c>
      <c r="E6" s="590">
        <f aca="true" t="shared" si="2" ref="E6:E13">H6+K6</f>
        <v>265</v>
      </c>
      <c r="F6" s="588">
        <f aca="true" t="shared" si="3" ref="F6:F16">G6+H6</f>
        <v>249</v>
      </c>
      <c r="G6" s="591">
        <v>206</v>
      </c>
      <c r="H6" s="590">
        <v>43</v>
      </c>
      <c r="I6" s="588">
        <f aca="true" t="shared" si="4" ref="I6:I16">J6+K6</f>
        <v>493</v>
      </c>
      <c r="J6" s="591">
        <v>271</v>
      </c>
      <c r="K6" s="592">
        <v>222</v>
      </c>
      <c r="L6" s="439"/>
      <c r="M6" s="461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</row>
    <row r="7" spans="1:40" s="440" customFormat="1" ht="25.5" customHeight="1">
      <c r="A7" s="455" t="s">
        <v>58</v>
      </c>
      <c r="B7" s="446"/>
      <c r="C7" s="588">
        <f t="shared" si="0"/>
        <v>699</v>
      </c>
      <c r="D7" s="591">
        <f t="shared" si="1"/>
        <v>490</v>
      </c>
      <c r="E7" s="590">
        <f t="shared" si="2"/>
        <v>209</v>
      </c>
      <c r="F7" s="588">
        <f t="shared" si="3"/>
        <v>293</v>
      </c>
      <c r="G7" s="591">
        <v>225</v>
      </c>
      <c r="H7" s="590">
        <v>68</v>
      </c>
      <c r="I7" s="588">
        <f t="shared" si="4"/>
        <v>406</v>
      </c>
      <c r="J7" s="591">
        <v>265</v>
      </c>
      <c r="K7" s="592">
        <v>141</v>
      </c>
      <c r="L7" s="439"/>
      <c r="M7" s="461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</row>
    <row r="8" spans="1:40" s="440" customFormat="1" ht="25.5" customHeight="1">
      <c r="A8" s="455" t="s">
        <v>59</v>
      </c>
      <c r="B8" s="446"/>
      <c r="C8" s="588">
        <f t="shared" si="0"/>
        <v>835</v>
      </c>
      <c r="D8" s="591">
        <f t="shared" si="1"/>
        <v>565</v>
      </c>
      <c r="E8" s="590">
        <f t="shared" si="2"/>
        <v>270</v>
      </c>
      <c r="F8" s="588">
        <f t="shared" si="3"/>
        <v>294</v>
      </c>
      <c r="G8" s="591">
        <v>108</v>
      </c>
      <c r="H8" s="590">
        <v>186</v>
      </c>
      <c r="I8" s="588">
        <f t="shared" si="4"/>
        <v>541</v>
      </c>
      <c r="J8" s="591">
        <v>457</v>
      </c>
      <c r="K8" s="592">
        <v>84</v>
      </c>
      <c r="L8" s="439"/>
      <c r="M8" s="461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</row>
    <row r="9" spans="1:40" s="440" customFormat="1" ht="25.5" customHeight="1">
      <c r="A9" s="455" t="s">
        <v>60</v>
      </c>
      <c r="B9" s="446"/>
      <c r="C9" s="588">
        <f t="shared" si="0"/>
        <v>626</v>
      </c>
      <c r="D9" s="591">
        <f t="shared" si="1"/>
        <v>421</v>
      </c>
      <c r="E9" s="590">
        <f t="shared" si="2"/>
        <v>205</v>
      </c>
      <c r="F9" s="588">
        <f t="shared" si="3"/>
        <v>56</v>
      </c>
      <c r="G9" s="591">
        <v>49</v>
      </c>
      <c r="H9" s="590">
        <v>7</v>
      </c>
      <c r="I9" s="588">
        <f t="shared" si="4"/>
        <v>570</v>
      </c>
      <c r="J9" s="591">
        <v>372</v>
      </c>
      <c r="K9" s="592">
        <v>198</v>
      </c>
      <c r="L9" s="439"/>
      <c r="M9" s="461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439"/>
    </row>
    <row r="10" spans="1:40" s="440" customFormat="1" ht="25.5" customHeight="1">
      <c r="A10" s="455" t="s">
        <v>61</v>
      </c>
      <c r="B10" s="446"/>
      <c r="C10" s="588">
        <f t="shared" si="0"/>
        <v>479</v>
      </c>
      <c r="D10" s="591">
        <f t="shared" si="1"/>
        <v>316</v>
      </c>
      <c r="E10" s="590">
        <f t="shared" si="2"/>
        <v>163</v>
      </c>
      <c r="F10" s="588">
        <f t="shared" si="3"/>
        <v>133</v>
      </c>
      <c r="G10" s="591">
        <v>68</v>
      </c>
      <c r="H10" s="590">
        <v>65</v>
      </c>
      <c r="I10" s="588">
        <f t="shared" si="4"/>
        <v>346</v>
      </c>
      <c r="J10" s="591">
        <v>248</v>
      </c>
      <c r="K10" s="592">
        <v>98</v>
      </c>
      <c r="L10" s="439"/>
      <c r="M10" s="461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39"/>
      <c r="AM10" s="439"/>
      <c r="AN10" s="439"/>
    </row>
    <row r="11" spans="1:40" s="440" customFormat="1" ht="25.5" customHeight="1">
      <c r="A11" s="455" t="s">
        <v>62</v>
      </c>
      <c r="B11" s="446"/>
      <c r="C11" s="588">
        <f t="shared" si="0"/>
        <v>1856</v>
      </c>
      <c r="D11" s="591">
        <f t="shared" si="1"/>
        <v>1209</v>
      </c>
      <c r="E11" s="590">
        <f t="shared" si="2"/>
        <v>647</v>
      </c>
      <c r="F11" s="588">
        <f t="shared" si="3"/>
        <v>470</v>
      </c>
      <c r="G11" s="591">
        <v>374</v>
      </c>
      <c r="H11" s="590">
        <v>96</v>
      </c>
      <c r="I11" s="588">
        <f t="shared" si="4"/>
        <v>1386</v>
      </c>
      <c r="J11" s="591">
        <v>835</v>
      </c>
      <c r="K11" s="592">
        <v>551</v>
      </c>
      <c r="L11" s="439"/>
      <c r="M11" s="461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439"/>
      <c r="AM11" s="439"/>
      <c r="AN11" s="439"/>
    </row>
    <row r="12" spans="1:40" s="440" customFormat="1" ht="25.5" customHeight="1">
      <c r="A12" s="455" t="s">
        <v>63</v>
      </c>
      <c r="B12" s="446"/>
      <c r="C12" s="588">
        <f t="shared" si="0"/>
        <v>360</v>
      </c>
      <c r="D12" s="591">
        <f t="shared" si="1"/>
        <v>198</v>
      </c>
      <c r="E12" s="590">
        <f t="shared" si="2"/>
        <v>162</v>
      </c>
      <c r="F12" s="588">
        <f t="shared" si="3"/>
        <v>180</v>
      </c>
      <c r="G12" s="591">
        <v>90</v>
      </c>
      <c r="H12" s="590">
        <v>90</v>
      </c>
      <c r="I12" s="588">
        <f t="shared" si="4"/>
        <v>180</v>
      </c>
      <c r="J12" s="591">
        <v>108</v>
      </c>
      <c r="K12" s="592">
        <v>72</v>
      </c>
      <c r="L12" s="439"/>
      <c r="M12" s="461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  <c r="AN12" s="439"/>
    </row>
    <row r="13" spans="1:40" s="440" customFormat="1" ht="25.5" customHeight="1">
      <c r="A13" s="455" t="s">
        <v>64</v>
      </c>
      <c r="B13" s="446"/>
      <c r="C13" s="588">
        <f t="shared" si="0"/>
        <v>338</v>
      </c>
      <c r="D13" s="591">
        <f t="shared" si="1"/>
        <v>191</v>
      </c>
      <c r="E13" s="590">
        <f t="shared" si="2"/>
        <v>147</v>
      </c>
      <c r="F13" s="588">
        <f t="shared" si="3"/>
        <v>204</v>
      </c>
      <c r="G13" s="591">
        <v>109</v>
      </c>
      <c r="H13" s="590">
        <v>95</v>
      </c>
      <c r="I13" s="588">
        <f t="shared" si="4"/>
        <v>134</v>
      </c>
      <c r="J13" s="591">
        <v>82</v>
      </c>
      <c r="K13" s="592">
        <v>52</v>
      </c>
      <c r="L13" s="439"/>
      <c r="M13" s="461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39"/>
      <c r="AM13" s="439"/>
      <c r="AN13" s="439"/>
    </row>
    <row r="14" spans="1:40" s="440" customFormat="1" ht="26.25" customHeight="1">
      <c r="A14" s="435" t="s">
        <v>65</v>
      </c>
      <c r="B14" s="436"/>
      <c r="C14" s="593">
        <f aca="true" t="shared" si="5" ref="C14:E16">F14+I14</f>
        <v>7028</v>
      </c>
      <c r="D14" s="589">
        <f t="shared" si="5"/>
        <v>4511</v>
      </c>
      <c r="E14" s="594">
        <f t="shared" si="5"/>
        <v>2517</v>
      </c>
      <c r="F14" s="593">
        <f t="shared" si="3"/>
        <v>2126</v>
      </c>
      <c r="G14" s="589">
        <f>SUM(G5:G13)</f>
        <v>1375</v>
      </c>
      <c r="H14" s="594">
        <f>SUM(H5:H13)</f>
        <v>751</v>
      </c>
      <c r="I14" s="593">
        <f t="shared" si="4"/>
        <v>4902</v>
      </c>
      <c r="J14" s="589">
        <f>SUM(J5:J13)</f>
        <v>3136</v>
      </c>
      <c r="K14" s="595">
        <f>SUM(K5:K13)</f>
        <v>1766</v>
      </c>
      <c r="L14" s="439"/>
      <c r="M14" s="461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</row>
    <row r="15" spans="1:40" s="440" customFormat="1" ht="26.25" customHeight="1">
      <c r="A15" s="455" t="s">
        <v>66</v>
      </c>
      <c r="B15" s="446"/>
      <c r="C15" s="596">
        <f>SUM(F15,I15)</f>
        <v>414</v>
      </c>
      <c r="D15" s="597">
        <f>SUM(G15,J15)</f>
        <v>253</v>
      </c>
      <c r="E15" s="598">
        <f>SUM(H15,K15)</f>
        <v>161</v>
      </c>
      <c r="F15" s="599" t="s">
        <v>36</v>
      </c>
      <c r="G15" s="600" t="s">
        <v>36</v>
      </c>
      <c r="H15" s="601" t="s">
        <v>36</v>
      </c>
      <c r="I15" s="596">
        <f t="shared" si="4"/>
        <v>414</v>
      </c>
      <c r="J15" s="597">
        <v>253</v>
      </c>
      <c r="K15" s="602">
        <v>161</v>
      </c>
      <c r="L15" s="439"/>
      <c r="M15" s="461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</row>
    <row r="16" spans="1:40" s="440" customFormat="1" ht="26.25" customHeight="1">
      <c r="A16" s="475" t="s">
        <v>67</v>
      </c>
      <c r="B16" s="476"/>
      <c r="C16" s="603">
        <f t="shared" si="5"/>
        <v>7442</v>
      </c>
      <c r="D16" s="604">
        <f t="shared" si="5"/>
        <v>4764</v>
      </c>
      <c r="E16" s="605">
        <f t="shared" si="5"/>
        <v>2678</v>
      </c>
      <c r="F16" s="603">
        <f t="shared" si="3"/>
        <v>2126</v>
      </c>
      <c r="G16" s="604">
        <f>SUM(G14:G15)</f>
        <v>1375</v>
      </c>
      <c r="H16" s="605">
        <f>SUM(H14:H15)</f>
        <v>751</v>
      </c>
      <c r="I16" s="603">
        <f t="shared" si="4"/>
        <v>5316</v>
      </c>
      <c r="J16" s="604">
        <f>SUM(J14:J15)</f>
        <v>3389</v>
      </c>
      <c r="K16" s="606">
        <f>SUM(K14:K15)</f>
        <v>1927</v>
      </c>
      <c r="L16" s="439"/>
      <c r="M16" s="461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</row>
    <row r="17" spans="3:40" s="440" customFormat="1" ht="18.75" customHeight="1">
      <c r="C17" s="607"/>
      <c r="D17" s="607"/>
      <c r="E17" s="607"/>
      <c r="F17" s="594"/>
      <c r="G17" s="594"/>
      <c r="H17" s="594"/>
      <c r="I17" s="594"/>
      <c r="J17" s="594"/>
      <c r="K17" s="594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</row>
    <row r="18" spans="1:40" s="432" customFormat="1" ht="26.25" customHeight="1">
      <c r="A18" s="1102" t="s">
        <v>343</v>
      </c>
      <c r="C18" s="494"/>
      <c r="D18" s="494"/>
      <c r="E18" s="494"/>
      <c r="F18" s="588"/>
      <c r="G18" s="590"/>
      <c r="H18" s="590"/>
      <c r="I18" s="590"/>
      <c r="J18" s="590"/>
      <c r="K18" s="590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</row>
    <row r="19" spans="3:40" s="440" customFormat="1" ht="13.5" customHeight="1">
      <c r="C19" s="607"/>
      <c r="D19" s="607"/>
      <c r="E19" s="607"/>
      <c r="F19" s="598"/>
      <c r="G19" s="590"/>
      <c r="H19" s="590"/>
      <c r="I19" s="590"/>
      <c r="J19" s="590"/>
      <c r="K19" s="590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</row>
    <row r="20" spans="1:40" s="440" customFormat="1" ht="30" customHeight="1">
      <c r="A20" s="1329" t="s">
        <v>31</v>
      </c>
      <c r="B20" s="1331"/>
      <c r="C20" s="1487" t="s">
        <v>74</v>
      </c>
      <c r="D20" s="1488"/>
      <c r="E20" s="1489"/>
      <c r="F20" s="1487" t="s">
        <v>169</v>
      </c>
      <c r="G20" s="1488"/>
      <c r="H20" s="1489"/>
      <c r="I20" s="1487" t="s">
        <v>170</v>
      </c>
      <c r="J20" s="1488"/>
      <c r="K20" s="148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39"/>
      <c r="AH20" s="439"/>
      <c r="AI20" s="439"/>
      <c r="AJ20" s="439"/>
      <c r="AK20" s="439"/>
      <c r="AL20" s="439"/>
      <c r="AM20" s="439"/>
      <c r="AN20" s="439"/>
    </row>
    <row r="21" spans="1:40" s="440" customFormat="1" ht="25.5" customHeight="1">
      <c r="A21" s="1335"/>
      <c r="B21" s="1337"/>
      <c r="C21" s="496" t="s">
        <v>5</v>
      </c>
      <c r="D21" s="498" t="s">
        <v>39</v>
      </c>
      <c r="E21" s="499" t="s">
        <v>40</v>
      </c>
      <c r="F21" s="496" t="s">
        <v>5</v>
      </c>
      <c r="G21" s="498" t="s">
        <v>39</v>
      </c>
      <c r="H21" s="497" t="s">
        <v>40</v>
      </c>
      <c r="I21" s="496" t="s">
        <v>5</v>
      </c>
      <c r="J21" s="498" t="s">
        <v>39</v>
      </c>
      <c r="K21" s="497" t="s">
        <v>40</v>
      </c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39"/>
      <c r="AE21" s="439"/>
      <c r="AF21" s="439"/>
      <c r="AG21" s="439"/>
      <c r="AH21" s="439"/>
      <c r="AI21" s="439"/>
      <c r="AJ21" s="439"/>
      <c r="AK21" s="439"/>
      <c r="AL21" s="439"/>
      <c r="AM21" s="439"/>
      <c r="AN21" s="439"/>
    </row>
    <row r="22" spans="1:40" s="440" customFormat="1" ht="33" customHeight="1">
      <c r="A22" s="455" t="s">
        <v>32</v>
      </c>
      <c r="B22" s="446"/>
      <c r="C22" s="588">
        <f aca="true" t="shared" si="6" ref="C22:E27">F22+I22</f>
        <v>2577</v>
      </c>
      <c r="D22" s="591">
        <f t="shared" si="6"/>
        <v>1611</v>
      </c>
      <c r="E22" s="590">
        <f t="shared" si="6"/>
        <v>966</v>
      </c>
      <c r="F22" s="588">
        <f aca="true" t="shared" si="7" ref="F22:F27">G22+H22</f>
        <v>832</v>
      </c>
      <c r="G22" s="591">
        <v>577</v>
      </c>
      <c r="H22" s="590">
        <v>255</v>
      </c>
      <c r="I22" s="588">
        <f aca="true" t="shared" si="8" ref="I22:I27">J22+K22</f>
        <v>1745</v>
      </c>
      <c r="J22" s="591">
        <v>1034</v>
      </c>
      <c r="K22" s="592">
        <v>711</v>
      </c>
      <c r="L22" s="439"/>
      <c r="M22" s="483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</row>
    <row r="23" spans="1:40" s="440" customFormat="1" ht="33" customHeight="1">
      <c r="A23" s="1478" t="s">
        <v>33</v>
      </c>
      <c r="B23" s="1479"/>
      <c r="C23" s="588">
        <f t="shared" si="6"/>
        <v>1922</v>
      </c>
      <c r="D23" s="591">
        <f t="shared" si="6"/>
        <v>1294</v>
      </c>
      <c r="E23" s="590">
        <f t="shared" si="6"/>
        <v>628</v>
      </c>
      <c r="F23" s="588">
        <f t="shared" si="7"/>
        <v>732</v>
      </c>
      <c r="G23" s="591">
        <v>465</v>
      </c>
      <c r="H23" s="590">
        <v>267</v>
      </c>
      <c r="I23" s="588">
        <f t="shared" si="8"/>
        <v>1190</v>
      </c>
      <c r="J23" s="591">
        <v>829</v>
      </c>
      <c r="K23" s="592">
        <v>361</v>
      </c>
      <c r="L23" s="439"/>
      <c r="M23" s="483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39"/>
      <c r="AL23" s="439"/>
      <c r="AM23" s="439"/>
      <c r="AN23" s="439"/>
    </row>
    <row r="24" spans="1:40" s="440" customFormat="1" ht="33" customHeight="1">
      <c r="A24" s="455" t="s">
        <v>34</v>
      </c>
      <c r="B24" s="446"/>
      <c r="C24" s="588">
        <f t="shared" si="6"/>
        <v>1514</v>
      </c>
      <c r="D24" s="591">
        <f t="shared" si="6"/>
        <v>966</v>
      </c>
      <c r="E24" s="590">
        <f t="shared" si="6"/>
        <v>548</v>
      </c>
      <c r="F24" s="588">
        <f t="shared" si="7"/>
        <v>224</v>
      </c>
      <c r="G24" s="591">
        <v>139</v>
      </c>
      <c r="H24" s="590">
        <v>85</v>
      </c>
      <c r="I24" s="588">
        <f t="shared" si="8"/>
        <v>1290</v>
      </c>
      <c r="J24" s="591">
        <v>827</v>
      </c>
      <c r="K24" s="592">
        <v>463</v>
      </c>
      <c r="L24" s="439"/>
      <c r="M24" s="483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</row>
    <row r="25" spans="1:40" s="440" customFormat="1" ht="33" customHeight="1">
      <c r="A25" s="1288" t="s">
        <v>47</v>
      </c>
      <c r="B25" s="485"/>
      <c r="C25" s="588">
        <f t="shared" si="6"/>
        <v>1015</v>
      </c>
      <c r="D25" s="591">
        <f t="shared" si="6"/>
        <v>640</v>
      </c>
      <c r="E25" s="590">
        <f t="shared" si="6"/>
        <v>375</v>
      </c>
      <c r="F25" s="588">
        <f t="shared" si="7"/>
        <v>338</v>
      </c>
      <c r="G25" s="591">
        <v>194</v>
      </c>
      <c r="H25" s="590">
        <v>144</v>
      </c>
      <c r="I25" s="588">
        <f t="shared" si="8"/>
        <v>677</v>
      </c>
      <c r="J25" s="591">
        <v>446</v>
      </c>
      <c r="K25" s="592">
        <v>231</v>
      </c>
      <c r="L25" s="439"/>
      <c r="M25" s="483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</row>
    <row r="26" spans="1:40" s="440" customFormat="1" ht="33" customHeight="1">
      <c r="A26" s="389" t="s">
        <v>466</v>
      </c>
      <c r="B26" s="446"/>
      <c r="C26" s="588">
        <f>SUM(F26,I26)</f>
        <v>414</v>
      </c>
      <c r="D26" s="591">
        <f>SUM(G26,J26)</f>
        <v>253</v>
      </c>
      <c r="E26" s="590">
        <f>SUM(H26,K26)</f>
        <v>161</v>
      </c>
      <c r="F26" s="599" t="s">
        <v>36</v>
      </c>
      <c r="G26" s="600" t="s">
        <v>36</v>
      </c>
      <c r="H26" s="601" t="s">
        <v>36</v>
      </c>
      <c r="I26" s="588">
        <f t="shared" si="8"/>
        <v>414</v>
      </c>
      <c r="J26" s="591">
        <v>253</v>
      </c>
      <c r="K26" s="592">
        <v>161</v>
      </c>
      <c r="L26" s="439"/>
      <c r="M26" s="483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</row>
    <row r="27" spans="1:40" s="440" customFormat="1" ht="38.25" customHeight="1">
      <c r="A27" s="475" t="s">
        <v>48</v>
      </c>
      <c r="B27" s="476"/>
      <c r="C27" s="603">
        <f t="shared" si="6"/>
        <v>7442</v>
      </c>
      <c r="D27" s="604">
        <f t="shared" si="6"/>
        <v>4764</v>
      </c>
      <c r="E27" s="605">
        <f t="shared" si="6"/>
        <v>2678</v>
      </c>
      <c r="F27" s="603">
        <f t="shared" si="7"/>
        <v>2126</v>
      </c>
      <c r="G27" s="604">
        <f>SUM(G22:G26)</f>
        <v>1375</v>
      </c>
      <c r="H27" s="605">
        <f>SUM(H22:H26)</f>
        <v>751</v>
      </c>
      <c r="I27" s="603">
        <f t="shared" si="8"/>
        <v>5316</v>
      </c>
      <c r="J27" s="604">
        <f>SUM(J22:J26)</f>
        <v>3389</v>
      </c>
      <c r="K27" s="606">
        <f>SUM(K22:K26)</f>
        <v>1927</v>
      </c>
      <c r="L27" s="439"/>
      <c r="M27" s="483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</row>
    <row r="28" ht="17.25" customHeight="1">
      <c r="A28" s="491"/>
    </row>
    <row r="29" spans="1:11" s="523" customFormat="1" ht="18.75" customHeight="1">
      <c r="A29" s="1497" t="s">
        <v>258</v>
      </c>
      <c r="B29" s="1497"/>
      <c r="C29" s="1497"/>
      <c r="D29" s="1497"/>
      <c r="E29" s="1497"/>
      <c r="F29" s="1497"/>
      <c r="G29" s="1497"/>
      <c r="H29" s="1497"/>
      <c r="I29" s="1497"/>
      <c r="J29" s="1497"/>
      <c r="K29" s="1497"/>
    </row>
    <row r="30" spans="1:11" s="523" customFormat="1" ht="18" customHeight="1">
      <c r="A30" s="524"/>
      <c r="B30" s="524"/>
      <c r="C30" s="525"/>
      <c r="D30" s="525"/>
      <c r="E30" s="525"/>
      <c r="F30" s="525"/>
      <c r="G30" s="525"/>
      <c r="H30" s="525"/>
      <c r="I30" s="525"/>
      <c r="J30" s="525"/>
      <c r="K30" s="526"/>
    </row>
  </sheetData>
  <sheetProtection/>
  <mergeCells count="10">
    <mergeCell ref="A29:K29"/>
    <mergeCell ref="A23:B23"/>
    <mergeCell ref="C3:E3"/>
    <mergeCell ref="F3:H3"/>
    <mergeCell ref="I3:K3"/>
    <mergeCell ref="A3:B4"/>
    <mergeCell ref="F20:H20"/>
    <mergeCell ref="I20:K20"/>
    <mergeCell ref="A20:B21"/>
    <mergeCell ref="C20:E20"/>
  </mergeCells>
  <printOptions horizontalCentered="1"/>
  <pageMargins left="0.34" right="0" top="0.75" bottom="0.25" header="0.5" footer="0.25"/>
  <pageSetup horizontalDpi="300" verticalDpi="300" orientation="portrait" paperSize="9" scale="95" r:id="rId1"/>
  <headerFooter alignWithMargins="0">
    <oddHeader>&amp;C&amp;"Times New Roman,Regular"&amp;11- 25 -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0.71875" style="2" customWidth="1"/>
    <col min="2" max="2" width="33.421875" style="2" customWidth="1"/>
    <col min="3" max="8" width="7.8515625" style="2" customWidth="1"/>
    <col min="9" max="9" width="8.00390625" style="2" customWidth="1"/>
    <col min="10" max="10" width="8.140625" style="2" customWidth="1"/>
    <col min="11" max="11" width="7.8515625" style="2" customWidth="1"/>
    <col min="12" max="14" width="8.57421875" style="2" customWidth="1"/>
    <col min="15" max="15" width="9.140625" style="337" customWidth="1"/>
    <col min="16" max="16" width="3.00390625" style="2" customWidth="1"/>
    <col min="17" max="17" width="4.421875" style="2" customWidth="1"/>
    <col min="18" max="18" width="4.57421875" style="2" customWidth="1"/>
    <col min="19" max="16384" width="9.140625" style="2" customWidth="1"/>
  </cols>
  <sheetData>
    <row r="1" spans="1:15" ht="19.5" customHeight="1">
      <c r="A1" s="14" t="s">
        <v>344</v>
      </c>
      <c r="O1" s="439"/>
    </row>
    <row r="2" spans="2:15" ht="15" customHeight="1">
      <c r="B2" s="7"/>
      <c r="O2" s="439"/>
    </row>
    <row r="3" spans="1:15" ht="15" customHeight="1">
      <c r="A3" s="1329" t="s">
        <v>15</v>
      </c>
      <c r="B3" s="1331"/>
      <c r="C3" s="1474" t="s">
        <v>171</v>
      </c>
      <c r="D3" s="1475"/>
      <c r="E3" s="1475"/>
      <c r="F3" s="1475"/>
      <c r="G3" s="1475"/>
      <c r="H3" s="1475"/>
      <c r="I3" s="1475"/>
      <c r="J3" s="1475"/>
      <c r="K3" s="1475"/>
      <c r="L3" s="1475"/>
      <c r="M3" s="1475"/>
      <c r="N3" s="1476"/>
      <c r="O3" s="400"/>
    </row>
    <row r="4" spans="1:15" ht="15" customHeight="1">
      <c r="A4" s="1332"/>
      <c r="B4" s="1334"/>
      <c r="C4" s="1474" t="s">
        <v>172</v>
      </c>
      <c r="D4" s="1475"/>
      <c r="E4" s="1476"/>
      <c r="F4" s="1474" t="s">
        <v>173</v>
      </c>
      <c r="G4" s="1475"/>
      <c r="H4" s="1476"/>
      <c r="I4" s="1475" t="s">
        <v>174</v>
      </c>
      <c r="J4" s="1475"/>
      <c r="K4" s="1476"/>
      <c r="L4" s="1474" t="s">
        <v>5</v>
      </c>
      <c r="M4" s="1475"/>
      <c r="N4" s="1476"/>
      <c r="O4" s="608"/>
    </row>
    <row r="5" spans="1:15" ht="15" customHeight="1">
      <c r="A5" s="1335"/>
      <c r="B5" s="1337"/>
      <c r="C5" s="5" t="s">
        <v>5</v>
      </c>
      <c r="D5" s="609" t="s">
        <v>39</v>
      </c>
      <c r="E5" s="6" t="s">
        <v>40</v>
      </c>
      <c r="F5" s="5" t="s">
        <v>5</v>
      </c>
      <c r="G5" s="609" t="s">
        <v>39</v>
      </c>
      <c r="H5" s="6" t="s">
        <v>40</v>
      </c>
      <c r="I5" s="5" t="s">
        <v>5</v>
      </c>
      <c r="J5" s="609" t="s">
        <v>39</v>
      </c>
      <c r="K5" s="6" t="s">
        <v>40</v>
      </c>
      <c r="L5" s="5" t="s">
        <v>5</v>
      </c>
      <c r="M5" s="609" t="s">
        <v>39</v>
      </c>
      <c r="N5" s="6" t="s">
        <v>40</v>
      </c>
      <c r="O5" s="608"/>
    </row>
    <row r="6" spans="1:15" ht="16.5" customHeight="1">
      <c r="A6" s="4"/>
      <c r="B6" s="610" t="s">
        <v>190</v>
      </c>
      <c r="C6" s="611">
        <f>D6+E6</f>
        <v>425</v>
      </c>
      <c r="D6" s="612">
        <v>281</v>
      </c>
      <c r="E6" s="613">
        <v>144</v>
      </c>
      <c r="F6" s="611">
        <f>G6+H6</f>
        <v>371</v>
      </c>
      <c r="G6" s="612">
        <v>203</v>
      </c>
      <c r="H6" s="613">
        <v>168</v>
      </c>
      <c r="I6" s="614">
        <f aca="true" t="shared" si="0" ref="I6:I14">J6+K6</f>
        <v>297</v>
      </c>
      <c r="J6" s="612">
        <v>160</v>
      </c>
      <c r="K6" s="613">
        <v>137</v>
      </c>
      <c r="L6" s="615">
        <f>C6+F6+I6</f>
        <v>1093</v>
      </c>
      <c r="M6" s="616">
        <f>D6+G6+J6</f>
        <v>644</v>
      </c>
      <c r="N6" s="617">
        <f>E6+H6+K6</f>
        <v>449</v>
      </c>
      <c r="O6" s="608"/>
    </row>
    <row r="7" spans="1:15" ht="16.5" customHeight="1">
      <c r="A7" s="8"/>
      <c r="B7" s="610" t="s">
        <v>175</v>
      </c>
      <c r="C7" s="611">
        <f aca="true" t="shared" si="1" ref="C7:C14">D7+E7</f>
        <v>293</v>
      </c>
      <c r="D7" s="612">
        <v>189</v>
      </c>
      <c r="E7" s="613">
        <v>104</v>
      </c>
      <c r="F7" s="611">
        <f aca="true" t="shared" si="2" ref="F7:F14">G7+H7</f>
        <v>230</v>
      </c>
      <c r="G7" s="612">
        <v>145</v>
      </c>
      <c r="H7" s="613">
        <v>85</v>
      </c>
      <c r="I7" s="614">
        <f t="shared" si="0"/>
        <v>219</v>
      </c>
      <c r="J7" s="612">
        <v>143</v>
      </c>
      <c r="K7" s="613">
        <v>76</v>
      </c>
      <c r="L7" s="611">
        <f aca="true" t="shared" si="3" ref="L7:L14">C7+F7+I7</f>
        <v>742</v>
      </c>
      <c r="M7" s="612">
        <f aca="true" t="shared" si="4" ref="M7:M14">D7+G7+J7</f>
        <v>477</v>
      </c>
      <c r="N7" s="613">
        <f aca="true" t="shared" si="5" ref="N7:N14">E7+H7+K7</f>
        <v>265</v>
      </c>
      <c r="O7" s="608"/>
    </row>
    <row r="8" spans="1:15" ht="16.5" customHeight="1">
      <c r="A8" s="8"/>
      <c r="B8" s="610" t="s">
        <v>176</v>
      </c>
      <c r="C8" s="611">
        <f t="shared" si="1"/>
        <v>219</v>
      </c>
      <c r="D8" s="612">
        <v>148</v>
      </c>
      <c r="E8" s="613">
        <v>71</v>
      </c>
      <c r="F8" s="611">
        <f t="shared" si="2"/>
        <v>262</v>
      </c>
      <c r="G8" s="612">
        <v>184</v>
      </c>
      <c r="H8" s="613">
        <v>78</v>
      </c>
      <c r="I8" s="614">
        <f t="shared" si="0"/>
        <v>218</v>
      </c>
      <c r="J8" s="612">
        <v>158</v>
      </c>
      <c r="K8" s="613">
        <v>60</v>
      </c>
      <c r="L8" s="611">
        <f t="shared" si="3"/>
        <v>699</v>
      </c>
      <c r="M8" s="612">
        <f t="shared" si="4"/>
        <v>490</v>
      </c>
      <c r="N8" s="613">
        <f t="shared" si="5"/>
        <v>209</v>
      </c>
      <c r="O8" s="608"/>
    </row>
    <row r="9" spans="1:15" ht="16.5" customHeight="1">
      <c r="A9" s="8"/>
      <c r="B9" s="610" t="s">
        <v>177</v>
      </c>
      <c r="C9" s="611">
        <f t="shared" si="1"/>
        <v>285</v>
      </c>
      <c r="D9" s="612">
        <v>174</v>
      </c>
      <c r="E9" s="613">
        <v>111</v>
      </c>
      <c r="F9" s="611">
        <f t="shared" si="2"/>
        <v>321</v>
      </c>
      <c r="G9" s="612">
        <v>225</v>
      </c>
      <c r="H9" s="613">
        <v>96</v>
      </c>
      <c r="I9" s="614">
        <f t="shared" si="0"/>
        <v>229</v>
      </c>
      <c r="J9" s="612">
        <v>166</v>
      </c>
      <c r="K9" s="613">
        <v>63</v>
      </c>
      <c r="L9" s="611">
        <f t="shared" si="3"/>
        <v>835</v>
      </c>
      <c r="M9" s="612">
        <f t="shared" si="4"/>
        <v>565</v>
      </c>
      <c r="N9" s="613">
        <f t="shared" si="5"/>
        <v>270</v>
      </c>
      <c r="O9" s="608"/>
    </row>
    <row r="10" spans="1:15" ht="16.5" customHeight="1">
      <c r="A10" s="8"/>
      <c r="B10" s="610" t="s">
        <v>178</v>
      </c>
      <c r="C10" s="611">
        <f t="shared" si="1"/>
        <v>232</v>
      </c>
      <c r="D10" s="612">
        <v>158</v>
      </c>
      <c r="E10" s="613">
        <v>74</v>
      </c>
      <c r="F10" s="611">
        <f t="shared" si="2"/>
        <v>190</v>
      </c>
      <c r="G10" s="612">
        <v>127</v>
      </c>
      <c r="H10" s="613">
        <v>63</v>
      </c>
      <c r="I10" s="614">
        <f t="shared" si="0"/>
        <v>204</v>
      </c>
      <c r="J10" s="612">
        <v>136</v>
      </c>
      <c r="K10" s="613">
        <v>68</v>
      </c>
      <c r="L10" s="611">
        <f t="shared" si="3"/>
        <v>626</v>
      </c>
      <c r="M10" s="612">
        <f t="shared" si="4"/>
        <v>421</v>
      </c>
      <c r="N10" s="613">
        <f t="shared" si="5"/>
        <v>205</v>
      </c>
      <c r="O10" s="608"/>
    </row>
    <row r="11" spans="1:15" ht="16.5" customHeight="1">
      <c r="A11" s="8"/>
      <c r="B11" s="610" t="s">
        <v>179</v>
      </c>
      <c r="C11" s="611">
        <f t="shared" si="1"/>
        <v>177</v>
      </c>
      <c r="D11" s="612">
        <v>111</v>
      </c>
      <c r="E11" s="613">
        <v>66</v>
      </c>
      <c r="F11" s="611">
        <f t="shared" si="2"/>
        <v>188</v>
      </c>
      <c r="G11" s="612">
        <v>120</v>
      </c>
      <c r="H11" s="613">
        <v>68</v>
      </c>
      <c r="I11" s="614">
        <f t="shared" si="0"/>
        <v>114</v>
      </c>
      <c r="J11" s="612">
        <v>85</v>
      </c>
      <c r="K11" s="613">
        <v>29</v>
      </c>
      <c r="L11" s="611">
        <f t="shared" si="3"/>
        <v>479</v>
      </c>
      <c r="M11" s="612">
        <f t="shared" si="4"/>
        <v>316</v>
      </c>
      <c r="N11" s="613">
        <f t="shared" si="5"/>
        <v>163</v>
      </c>
      <c r="O11" s="608"/>
    </row>
    <row r="12" spans="1:15" ht="16.5" customHeight="1">
      <c r="A12" s="8"/>
      <c r="B12" s="610" t="s">
        <v>180</v>
      </c>
      <c r="C12" s="611">
        <f t="shared" si="1"/>
        <v>653</v>
      </c>
      <c r="D12" s="612">
        <v>420</v>
      </c>
      <c r="E12" s="613">
        <v>233</v>
      </c>
      <c r="F12" s="611">
        <f t="shared" si="2"/>
        <v>648</v>
      </c>
      <c r="G12" s="612">
        <v>443</v>
      </c>
      <c r="H12" s="613">
        <v>205</v>
      </c>
      <c r="I12" s="614">
        <f t="shared" si="0"/>
        <v>555</v>
      </c>
      <c r="J12" s="612">
        <v>346</v>
      </c>
      <c r="K12" s="613">
        <v>209</v>
      </c>
      <c r="L12" s="611">
        <f t="shared" si="3"/>
        <v>1856</v>
      </c>
      <c r="M12" s="612">
        <f t="shared" si="4"/>
        <v>1209</v>
      </c>
      <c r="N12" s="613">
        <f t="shared" si="5"/>
        <v>647</v>
      </c>
      <c r="O12" s="608"/>
    </row>
    <row r="13" spans="1:15" ht="16.5" customHeight="1">
      <c r="A13" s="8"/>
      <c r="B13" s="610" t="s">
        <v>181</v>
      </c>
      <c r="C13" s="611">
        <f t="shared" si="1"/>
        <v>109</v>
      </c>
      <c r="D13" s="612">
        <v>65</v>
      </c>
      <c r="E13" s="613">
        <v>44</v>
      </c>
      <c r="F13" s="611">
        <f t="shared" si="2"/>
        <v>147</v>
      </c>
      <c r="G13" s="612">
        <v>74</v>
      </c>
      <c r="H13" s="613">
        <v>73</v>
      </c>
      <c r="I13" s="614">
        <f t="shared" si="0"/>
        <v>104</v>
      </c>
      <c r="J13" s="612">
        <v>59</v>
      </c>
      <c r="K13" s="613">
        <v>45</v>
      </c>
      <c r="L13" s="611">
        <f t="shared" si="3"/>
        <v>360</v>
      </c>
      <c r="M13" s="612">
        <f t="shared" si="4"/>
        <v>198</v>
      </c>
      <c r="N13" s="613">
        <f t="shared" si="5"/>
        <v>162</v>
      </c>
      <c r="O13" s="608"/>
    </row>
    <row r="14" spans="1:15" ht="16.5" customHeight="1">
      <c r="A14" s="8"/>
      <c r="B14" s="610" t="s">
        <v>182</v>
      </c>
      <c r="C14" s="611">
        <f t="shared" si="1"/>
        <v>156</v>
      </c>
      <c r="D14" s="612">
        <v>101</v>
      </c>
      <c r="E14" s="613">
        <v>55</v>
      </c>
      <c r="F14" s="611">
        <f t="shared" si="2"/>
        <v>106</v>
      </c>
      <c r="G14" s="612">
        <v>55</v>
      </c>
      <c r="H14" s="613">
        <v>51</v>
      </c>
      <c r="I14" s="614">
        <f t="shared" si="0"/>
        <v>76</v>
      </c>
      <c r="J14" s="612">
        <v>35</v>
      </c>
      <c r="K14" s="613">
        <v>41</v>
      </c>
      <c r="L14" s="618">
        <f t="shared" si="3"/>
        <v>338</v>
      </c>
      <c r="M14" s="619">
        <f t="shared" si="4"/>
        <v>191</v>
      </c>
      <c r="N14" s="620">
        <f t="shared" si="5"/>
        <v>147</v>
      </c>
      <c r="O14" s="608"/>
    </row>
    <row r="15" spans="1:15" ht="16.5" customHeight="1">
      <c r="A15" s="4"/>
      <c r="B15" s="621" t="s">
        <v>2</v>
      </c>
      <c r="C15" s="615">
        <f aca="true" t="shared" si="6" ref="C15:N15">SUM(C6:C14)</f>
        <v>2549</v>
      </c>
      <c r="D15" s="616">
        <f t="shared" si="6"/>
        <v>1647</v>
      </c>
      <c r="E15" s="617">
        <f t="shared" si="6"/>
        <v>902</v>
      </c>
      <c r="F15" s="615">
        <f t="shared" si="6"/>
        <v>2463</v>
      </c>
      <c r="G15" s="616">
        <f t="shared" si="6"/>
        <v>1576</v>
      </c>
      <c r="H15" s="617">
        <f t="shared" si="6"/>
        <v>887</v>
      </c>
      <c r="I15" s="622">
        <f t="shared" si="6"/>
        <v>2016</v>
      </c>
      <c r="J15" s="616">
        <f t="shared" si="6"/>
        <v>1288</v>
      </c>
      <c r="K15" s="617">
        <f t="shared" si="6"/>
        <v>728</v>
      </c>
      <c r="L15" s="615">
        <f t="shared" si="6"/>
        <v>7028</v>
      </c>
      <c r="M15" s="616">
        <f t="shared" si="6"/>
        <v>4511</v>
      </c>
      <c r="N15" s="617">
        <f t="shared" si="6"/>
        <v>2517</v>
      </c>
      <c r="O15" s="608"/>
    </row>
    <row r="16" spans="1:15" ht="16.5" customHeight="1">
      <c r="A16" s="8"/>
      <c r="B16" s="610" t="s">
        <v>4</v>
      </c>
      <c r="C16" s="611">
        <f>D16+E16</f>
        <v>142</v>
      </c>
      <c r="D16" s="612">
        <v>89</v>
      </c>
      <c r="E16" s="613">
        <v>53</v>
      </c>
      <c r="F16" s="611">
        <f>G16+H16</f>
        <v>126</v>
      </c>
      <c r="G16" s="612">
        <v>78</v>
      </c>
      <c r="H16" s="613">
        <v>48</v>
      </c>
      <c r="I16" s="611">
        <f>J16+K16</f>
        <v>146</v>
      </c>
      <c r="J16" s="612">
        <v>86</v>
      </c>
      <c r="K16" s="613">
        <v>60</v>
      </c>
      <c r="L16" s="611">
        <f>C16+F16+I16</f>
        <v>414</v>
      </c>
      <c r="M16" s="612">
        <f>SUM(D16,G16,J16)</f>
        <v>253</v>
      </c>
      <c r="N16" s="623">
        <f>SUM(E16,H16,K16)</f>
        <v>161</v>
      </c>
      <c r="O16" s="608"/>
    </row>
    <row r="17" spans="1:15" s="9" customFormat="1" ht="24" customHeight="1">
      <c r="A17" s="10"/>
      <c r="B17" s="624" t="s">
        <v>100</v>
      </c>
      <c r="C17" s="625">
        <f aca="true" t="shared" si="7" ref="C17:N17">SUM(C15:C16)</f>
        <v>2691</v>
      </c>
      <c r="D17" s="626">
        <f t="shared" si="7"/>
        <v>1736</v>
      </c>
      <c r="E17" s="627">
        <f t="shared" si="7"/>
        <v>955</v>
      </c>
      <c r="F17" s="625">
        <f t="shared" si="7"/>
        <v>2589</v>
      </c>
      <c r="G17" s="626">
        <f t="shared" si="7"/>
        <v>1654</v>
      </c>
      <c r="H17" s="627">
        <f t="shared" si="7"/>
        <v>935</v>
      </c>
      <c r="I17" s="628">
        <f t="shared" si="7"/>
        <v>2162</v>
      </c>
      <c r="J17" s="626">
        <f t="shared" si="7"/>
        <v>1374</v>
      </c>
      <c r="K17" s="627">
        <f t="shared" si="7"/>
        <v>788</v>
      </c>
      <c r="L17" s="625">
        <f t="shared" si="7"/>
        <v>7442</v>
      </c>
      <c r="M17" s="626">
        <f t="shared" si="7"/>
        <v>4764</v>
      </c>
      <c r="N17" s="627">
        <f t="shared" si="7"/>
        <v>2678</v>
      </c>
      <c r="O17" s="608"/>
    </row>
    <row r="18" spans="1:15" ht="10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629"/>
      <c r="O18" s="608"/>
    </row>
    <row r="19" spans="1:15" ht="21.75" customHeight="1">
      <c r="A19" s="14" t="s">
        <v>345</v>
      </c>
      <c r="L19" s="9"/>
      <c r="M19" s="9"/>
      <c r="N19" s="9"/>
      <c r="O19" s="608"/>
    </row>
    <row r="20" spans="12:15" ht="15" customHeight="1">
      <c r="L20" s="630"/>
      <c r="M20" s="630"/>
      <c r="N20" s="630"/>
      <c r="O20" s="608"/>
    </row>
    <row r="21" spans="1:14" ht="15" customHeight="1">
      <c r="A21" s="1329" t="s">
        <v>31</v>
      </c>
      <c r="B21" s="1331"/>
      <c r="C21" s="5"/>
      <c r="D21" s="631" t="s">
        <v>171</v>
      </c>
      <c r="E21" s="631"/>
      <c r="F21" s="631"/>
      <c r="G21" s="631"/>
      <c r="H21" s="631"/>
      <c r="I21" s="631"/>
      <c r="J21" s="631"/>
      <c r="K21" s="631"/>
      <c r="L21" s="631"/>
      <c r="M21" s="631"/>
      <c r="N21" s="632"/>
    </row>
    <row r="22" spans="1:14" ht="15" customHeight="1">
      <c r="A22" s="1332"/>
      <c r="B22" s="1334"/>
      <c r="C22" s="1350" t="s">
        <v>172</v>
      </c>
      <c r="D22" s="1351"/>
      <c r="E22" s="1352"/>
      <c r="F22" s="1350" t="s">
        <v>173</v>
      </c>
      <c r="G22" s="1351"/>
      <c r="H22" s="1352"/>
      <c r="I22" s="1350" t="s">
        <v>174</v>
      </c>
      <c r="J22" s="1351"/>
      <c r="K22" s="1352"/>
      <c r="L22" s="1350" t="s">
        <v>5</v>
      </c>
      <c r="M22" s="1351"/>
      <c r="N22" s="1352"/>
    </row>
    <row r="23" spans="1:14" ht="15" customHeight="1">
      <c r="A23" s="1335"/>
      <c r="B23" s="1337"/>
      <c r="C23" s="5" t="s">
        <v>5</v>
      </c>
      <c r="D23" s="609" t="s">
        <v>39</v>
      </c>
      <c r="E23" s="6" t="s">
        <v>40</v>
      </c>
      <c r="F23" s="5" t="s">
        <v>5</v>
      </c>
      <c r="G23" s="609" t="s">
        <v>39</v>
      </c>
      <c r="H23" s="6" t="s">
        <v>40</v>
      </c>
      <c r="I23" s="5" t="s">
        <v>5</v>
      </c>
      <c r="J23" s="609" t="s">
        <v>39</v>
      </c>
      <c r="K23" s="6" t="s">
        <v>40</v>
      </c>
      <c r="L23" s="5" t="s">
        <v>5</v>
      </c>
      <c r="M23" s="609" t="s">
        <v>39</v>
      </c>
      <c r="N23" s="6" t="s">
        <v>40</v>
      </c>
    </row>
    <row r="24" spans="1:14" ht="18.75" customHeight="1">
      <c r="A24" s="8"/>
      <c r="B24" s="621" t="s">
        <v>249</v>
      </c>
      <c r="C24" s="615">
        <f>D24+E24</f>
        <v>961</v>
      </c>
      <c r="D24" s="616">
        <v>618</v>
      </c>
      <c r="E24" s="617">
        <v>343</v>
      </c>
      <c r="F24" s="615">
        <f>G24+H24</f>
        <v>882</v>
      </c>
      <c r="G24" s="616">
        <v>532</v>
      </c>
      <c r="H24" s="633">
        <v>350</v>
      </c>
      <c r="I24" s="611">
        <f>J24+K24</f>
        <v>734</v>
      </c>
      <c r="J24" s="612">
        <v>461</v>
      </c>
      <c r="K24" s="613">
        <v>273</v>
      </c>
      <c r="L24" s="634">
        <f aca="true" t="shared" si="8" ref="L24:N28">C24+F24+I24</f>
        <v>2577</v>
      </c>
      <c r="M24" s="635">
        <f t="shared" si="8"/>
        <v>1611</v>
      </c>
      <c r="N24" s="633">
        <f t="shared" si="8"/>
        <v>966</v>
      </c>
    </row>
    <row r="25" spans="1:14" ht="16.5" customHeight="1">
      <c r="A25" s="8"/>
      <c r="B25" s="610" t="s">
        <v>183</v>
      </c>
      <c r="C25" s="611">
        <f>D25+E25</f>
        <v>652</v>
      </c>
      <c r="D25" s="612">
        <v>433</v>
      </c>
      <c r="E25" s="613">
        <v>219</v>
      </c>
      <c r="F25" s="611">
        <f>G25+H25</f>
        <v>711</v>
      </c>
      <c r="G25" s="612">
        <v>489</v>
      </c>
      <c r="H25" s="613">
        <v>222</v>
      </c>
      <c r="I25" s="611">
        <f>J25+K25</f>
        <v>559</v>
      </c>
      <c r="J25" s="612">
        <v>372</v>
      </c>
      <c r="K25" s="613">
        <v>187</v>
      </c>
      <c r="L25" s="636">
        <f t="shared" si="8"/>
        <v>1922</v>
      </c>
      <c r="M25" s="637">
        <f t="shared" si="8"/>
        <v>1294</v>
      </c>
      <c r="N25" s="638">
        <f t="shared" si="8"/>
        <v>628</v>
      </c>
    </row>
    <row r="26" spans="1:14" ht="16.5" customHeight="1">
      <c r="A26" s="8"/>
      <c r="B26" s="610" t="s">
        <v>184</v>
      </c>
      <c r="C26" s="611">
        <f>D26+E26</f>
        <v>554</v>
      </c>
      <c r="D26" s="612">
        <v>345</v>
      </c>
      <c r="E26" s="613">
        <v>209</v>
      </c>
      <c r="F26" s="611">
        <f>G26+H26</f>
        <v>507</v>
      </c>
      <c r="G26" s="612">
        <v>323</v>
      </c>
      <c r="H26" s="613">
        <v>184</v>
      </c>
      <c r="I26" s="611">
        <f>J26+K26</f>
        <v>453</v>
      </c>
      <c r="J26" s="612">
        <v>298</v>
      </c>
      <c r="K26" s="613">
        <v>155</v>
      </c>
      <c r="L26" s="636">
        <f t="shared" si="8"/>
        <v>1514</v>
      </c>
      <c r="M26" s="637">
        <f t="shared" si="8"/>
        <v>966</v>
      </c>
      <c r="N26" s="638">
        <f t="shared" si="8"/>
        <v>548</v>
      </c>
    </row>
    <row r="27" spans="1:14" ht="16.5" customHeight="1">
      <c r="A27" s="8"/>
      <c r="B27" s="610" t="s">
        <v>185</v>
      </c>
      <c r="C27" s="611">
        <f>D27+E27</f>
        <v>382</v>
      </c>
      <c r="D27" s="612">
        <v>251</v>
      </c>
      <c r="E27" s="613">
        <v>131</v>
      </c>
      <c r="F27" s="611">
        <f>G27+H27</f>
        <v>363</v>
      </c>
      <c r="G27" s="612">
        <v>232</v>
      </c>
      <c r="H27" s="613">
        <v>131</v>
      </c>
      <c r="I27" s="611">
        <f>J27+K27</f>
        <v>270</v>
      </c>
      <c r="J27" s="612">
        <v>157</v>
      </c>
      <c r="K27" s="613">
        <v>113</v>
      </c>
      <c r="L27" s="636">
        <f t="shared" si="8"/>
        <v>1015</v>
      </c>
      <c r="M27" s="637">
        <f t="shared" si="8"/>
        <v>640</v>
      </c>
      <c r="N27" s="638">
        <f t="shared" si="8"/>
        <v>375</v>
      </c>
    </row>
    <row r="28" spans="1:14" ht="16.5" customHeight="1">
      <c r="A28" s="8"/>
      <c r="B28" s="610" t="s">
        <v>467</v>
      </c>
      <c r="C28" s="611">
        <f>D28+E28</f>
        <v>142</v>
      </c>
      <c r="D28" s="612">
        <v>89</v>
      </c>
      <c r="E28" s="613">
        <v>53</v>
      </c>
      <c r="F28" s="611">
        <f>G28+H28</f>
        <v>126</v>
      </c>
      <c r="G28" s="612">
        <v>78</v>
      </c>
      <c r="H28" s="613">
        <v>48</v>
      </c>
      <c r="I28" s="611">
        <f>J28+K28</f>
        <v>146</v>
      </c>
      <c r="J28" s="612">
        <v>86</v>
      </c>
      <c r="K28" s="613">
        <v>60</v>
      </c>
      <c r="L28" s="636">
        <f t="shared" si="8"/>
        <v>414</v>
      </c>
      <c r="M28" s="637">
        <f t="shared" si="8"/>
        <v>253</v>
      </c>
      <c r="N28" s="638">
        <f t="shared" si="8"/>
        <v>161</v>
      </c>
    </row>
    <row r="29" spans="1:16" ht="18" customHeight="1">
      <c r="A29" s="10"/>
      <c r="B29" s="624" t="s">
        <v>186</v>
      </c>
      <c r="C29" s="625">
        <f aca="true" t="shared" si="9" ref="C29:N29">SUM(C24:C28)</f>
        <v>2691</v>
      </c>
      <c r="D29" s="626">
        <f t="shared" si="9"/>
        <v>1736</v>
      </c>
      <c r="E29" s="627">
        <f t="shared" si="9"/>
        <v>955</v>
      </c>
      <c r="F29" s="628">
        <f t="shared" si="9"/>
        <v>2589</v>
      </c>
      <c r="G29" s="626">
        <f>SUM(G24:G28)</f>
        <v>1654</v>
      </c>
      <c r="H29" s="627">
        <f>SUM(H24:H28)</f>
        <v>935</v>
      </c>
      <c r="I29" s="628">
        <f t="shared" si="9"/>
        <v>2162</v>
      </c>
      <c r="J29" s="626">
        <f t="shared" si="9"/>
        <v>1374</v>
      </c>
      <c r="K29" s="627">
        <f t="shared" si="9"/>
        <v>788</v>
      </c>
      <c r="L29" s="625">
        <f t="shared" si="9"/>
        <v>7442</v>
      </c>
      <c r="M29" s="626">
        <f t="shared" si="9"/>
        <v>4764</v>
      </c>
      <c r="N29" s="627">
        <f t="shared" si="9"/>
        <v>2678</v>
      </c>
      <c r="P29" s="639"/>
    </row>
    <row r="30" spans="2:15" s="13" customFormat="1" ht="15" customHeight="1">
      <c r="B30" s="38"/>
      <c r="O30" s="640"/>
    </row>
  </sheetData>
  <sheetProtection/>
  <mergeCells count="11">
    <mergeCell ref="A3:B5"/>
    <mergeCell ref="A21:B23"/>
    <mergeCell ref="C4:E4"/>
    <mergeCell ref="F4:H4"/>
    <mergeCell ref="C22:E22"/>
    <mergeCell ref="F22:H22"/>
    <mergeCell ref="L22:N22"/>
    <mergeCell ref="C3:N3"/>
    <mergeCell ref="I4:K4"/>
    <mergeCell ref="L4:N4"/>
    <mergeCell ref="I22:K22"/>
  </mergeCells>
  <printOptions/>
  <pageMargins left="0.5" right="0.25" top="0.73" bottom="0.37" header="0.4" footer="0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1">
      <pane xSplit="14" ySplit="3" topLeftCell="O4" activePane="bottomRight" state="frozen"/>
      <selection pane="topLeft" activeCell="A1" sqref="A1"/>
      <selection pane="topRight" activeCell="O1" sqref="O1"/>
      <selection pane="bottomLeft" activeCell="A4" sqref="A4"/>
      <selection pane="bottomRight" activeCell="Z7" sqref="Z7"/>
    </sheetView>
  </sheetViews>
  <sheetFormatPr defaultColWidth="9.140625" defaultRowHeight="12.75"/>
  <cols>
    <col min="1" max="1" width="2.28125" style="938" customWidth="1"/>
    <col min="2" max="2" width="11.28125" style="938" customWidth="1"/>
    <col min="3" max="8" width="7.8515625" style="938" hidden="1" customWidth="1"/>
    <col min="9" max="14" width="8.57421875" style="938" hidden="1" customWidth="1"/>
    <col min="15" max="23" width="8.57421875" style="938" customWidth="1"/>
    <col min="24" max="16384" width="9.140625" style="938" customWidth="1"/>
  </cols>
  <sheetData>
    <row r="1" s="937" customFormat="1" ht="18" customHeight="1">
      <c r="A1" s="936" t="s">
        <v>307</v>
      </c>
    </row>
    <row r="2" ht="20.25" customHeight="1">
      <c r="A2" s="1154" t="s">
        <v>346</v>
      </c>
    </row>
    <row r="3" ht="12.75" customHeight="1"/>
    <row r="4" spans="1:23" s="942" customFormat="1" ht="30" customHeight="1">
      <c r="A4" s="1590" t="s">
        <v>474</v>
      </c>
      <c r="B4" s="1591"/>
      <c r="C4" s="939">
        <v>2004</v>
      </c>
      <c r="D4" s="940"/>
      <c r="E4" s="941"/>
      <c r="F4" s="939">
        <v>2005</v>
      </c>
      <c r="G4" s="940"/>
      <c r="H4" s="941"/>
      <c r="I4" s="939">
        <v>2006</v>
      </c>
      <c r="J4" s="940"/>
      <c r="K4" s="941"/>
      <c r="L4" s="1530">
        <v>2007</v>
      </c>
      <c r="M4" s="1531"/>
      <c r="N4" s="1532"/>
      <c r="O4" s="1155">
        <v>2008</v>
      </c>
      <c r="P4" s="1156"/>
      <c r="Q4" s="1157"/>
      <c r="R4" s="1155">
        <v>2009</v>
      </c>
      <c r="S4" s="1156"/>
      <c r="T4" s="1157"/>
      <c r="U4" s="1155">
        <v>2010</v>
      </c>
      <c r="V4" s="1156"/>
      <c r="W4" s="1157"/>
    </row>
    <row r="5" spans="1:23" s="942" customFormat="1" ht="30" customHeight="1">
      <c r="A5" s="1592" t="s">
        <v>473</v>
      </c>
      <c r="B5" s="1593"/>
      <c r="C5" s="943" t="s">
        <v>5</v>
      </c>
      <c r="D5" s="944" t="s">
        <v>39</v>
      </c>
      <c r="E5" s="945" t="s">
        <v>40</v>
      </c>
      <c r="F5" s="943" t="s">
        <v>5</v>
      </c>
      <c r="G5" s="944" t="s">
        <v>39</v>
      </c>
      <c r="H5" s="945" t="s">
        <v>40</v>
      </c>
      <c r="I5" s="943" t="s">
        <v>5</v>
      </c>
      <c r="J5" s="944" t="s">
        <v>39</v>
      </c>
      <c r="K5" s="945" t="s">
        <v>40</v>
      </c>
      <c r="L5" s="1158" t="s">
        <v>5</v>
      </c>
      <c r="M5" s="1159" t="s">
        <v>39</v>
      </c>
      <c r="N5" s="1160" t="s">
        <v>40</v>
      </c>
      <c r="O5" s="1158" t="s">
        <v>5</v>
      </c>
      <c r="P5" s="1159" t="s">
        <v>39</v>
      </c>
      <c r="Q5" s="1161" t="s">
        <v>40</v>
      </c>
      <c r="R5" s="1158" t="s">
        <v>5</v>
      </c>
      <c r="S5" s="1159" t="s">
        <v>39</v>
      </c>
      <c r="T5" s="1161" t="s">
        <v>40</v>
      </c>
      <c r="U5" s="1158" t="s">
        <v>5</v>
      </c>
      <c r="V5" s="1159" t="s">
        <v>39</v>
      </c>
      <c r="W5" s="1161" t="s">
        <v>40</v>
      </c>
    </row>
    <row r="6" spans="1:23" s="950" customFormat="1" ht="46.5" customHeight="1">
      <c r="A6" s="946" t="s">
        <v>46</v>
      </c>
      <c r="B6" s="947"/>
      <c r="C6" s="948"/>
      <c r="D6" s="948"/>
      <c r="E6" s="948"/>
      <c r="F6" s="949"/>
      <c r="G6" s="949"/>
      <c r="H6" s="949"/>
      <c r="K6" s="948"/>
      <c r="N6" s="949"/>
      <c r="O6" s="949"/>
      <c r="P6" s="949"/>
      <c r="Q6" s="949"/>
      <c r="R6" s="948"/>
      <c r="T6" s="951"/>
      <c r="U6" s="948"/>
      <c r="W6" s="951"/>
    </row>
    <row r="7" spans="1:23" s="942" customFormat="1" ht="45" customHeight="1">
      <c r="A7" s="952" t="s">
        <v>97</v>
      </c>
      <c r="B7" s="953" t="s">
        <v>83</v>
      </c>
      <c r="C7" s="954">
        <f>E7+D7</f>
        <v>3641</v>
      </c>
      <c r="D7" s="955">
        <v>2302</v>
      </c>
      <c r="E7" s="956">
        <v>1339</v>
      </c>
      <c r="F7" s="954">
        <f>H7+G7</f>
        <v>4164</v>
      </c>
      <c r="G7" s="955">
        <v>2583</v>
      </c>
      <c r="H7" s="956">
        <v>1581</v>
      </c>
      <c r="I7" s="954">
        <f>K7+J7</f>
        <v>3747</v>
      </c>
      <c r="J7" s="955">
        <v>2273</v>
      </c>
      <c r="K7" s="956">
        <v>1474</v>
      </c>
      <c r="L7" s="954">
        <f>N7+M7</f>
        <v>3146</v>
      </c>
      <c r="M7" s="955">
        <v>1978</v>
      </c>
      <c r="N7" s="956">
        <v>1168</v>
      </c>
      <c r="O7" s="954">
        <f>Q7+P7</f>
        <v>2971</v>
      </c>
      <c r="P7" s="955">
        <v>1869</v>
      </c>
      <c r="Q7" s="956">
        <v>1102</v>
      </c>
      <c r="R7" s="954">
        <f>T7+S7</f>
        <v>2981</v>
      </c>
      <c r="S7" s="955">
        <v>1889</v>
      </c>
      <c r="T7" s="956">
        <v>1092</v>
      </c>
      <c r="U7" s="954">
        <f>W7+V7</f>
        <v>2691</v>
      </c>
      <c r="V7" s="955">
        <v>1736</v>
      </c>
      <c r="W7" s="956">
        <v>955</v>
      </c>
    </row>
    <row r="8" spans="1:23" s="942" customFormat="1" ht="45" customHeight="1">
      <c r="A8" s="957"/>
      <c r="B8" s="958" t="s">
        <v>84</v>
      </c>
      <c r="C8" s="959">
        <f>E8+D8</f>
        <v>2866</v>
      </c>
      <c r="D8" s="960">
        <v>1833</v>
      </c>
      <c r="E8" s="961">
        <v>1033</v>
      </c>
      <c r="F8" s="959">
        <f>H8+G8</f>
        <v>3208</v>
      </c>
      <c r="G8" s="960">
        <v>2014</v>
      </c>
      <c r="H8" s="961">
        <v>1194</v>
      </c>
      <c r="I8" s="959">
        <f>K8+J8</f>
        <v>3788</v>
      </c>
      <c r="J8" s="960">
        <v>2321</v>
      </c>
      <c r="K8" s="961">
        <v>1467</v>
      </c>
      <c r="L8" s="959">
        <f>N8+M8</f>
        <v>3192</v>
      </c>
      <c r="M8" s="960">
        <v>1972</v>
      </c>
      <c r="N8" s="961">
        <v>1220</v>
      </c>
      <c r="O8" s="959">
        <f>Q8+P8</f>
        <v>2858</v>
      </c>
      <c r="P8" s="960">
        <v>1787</v>
      </c>
      <c r="Q8" s="961">
        <v>1071</v>
      </c>
      <c r="R8" s="959">
        <f>T8+S8</f>
        <v>2612</v>
      </c>
      <c r="S8" s="960">
        <v>1655</v>
      </c>
      <c r="T8" s="961">
        <v>957</v>
      </c>
      <c r="U8" s="959">
        <f>W8+V8</f>
        <v>2589</v>
      </c>
      <c r="V8" s="960">
        <v>1654</v>
      </c>
      <c r="W8" s="961">
        <v>935</v>
      </c>
    </row>
    <row r="9" spans="1:23" s="942" customFormat="1" ht="45" customHeight="1">
      <c r="A9" s="957"/>
      <c r="B9" s="962" t="s">
        <v>85</v>
      </c>
      <c r="C9" s="963">
        <f>E9+D9</f>
        <v>1981</v>
      </c>
      <c r="D9" s="964">
        <v>1322</v>
      </c>
      <c r="E9" s="965">
        <v>659</v>
      </c>
      <c r="F9" s="963">
        <f>H9+G9</f>
        <v>2473</v>
      </c>
      <c r="G9" s="964">
        <v>1524</v>
      </c>
      <c r="H9" s="965">
        <v>949</v>
      </c>
      <c r="I9" s="963">
        <f>K9+J9</f>
        <v>2889</v>
      </c>
      <c r="J9" s="964">
        <v>1805</v>
      </c>
      <c r="K9" s="965">
        <v>1084</v>
      </c>
      <c r="L9" s="963">
        <f>N9+M9</f>
        <v>3235</v>
      </c>
      <c r="M9" s="964">
        <v>2007</v>
      </c>
      <c r="N9" s="965">
        <v>1228</v>
      </c>
      <c r="O9" s="963">
        <f>Q9+P9</f>
        <v>2666</v>
      </c>
      <c r="P9" s="964">
        <v>1680</v>
      </c>
      <c r="Q9" s="965">
        <v>986</v>
      </c>
      <c r="R9" s="963">
        <f>T9+S9</f>
        <v>2440</v>
      </c>
      <c r="S9" s="964">
        <v>1570</v>
      </c>
      <c r="T9" s="965">
        <v>870</v>
      </c>
      <c r="U9" s="963">
        <f>W9+V9</f>
        <v>2162</v>
      </c>
      <c r="V9" s="964">
        <v>1374</v>
      </c>
      <c r="W9" s="965">
        <v>788</v>
      </c>
    </row>
    <row r="10" spans="1:23" s="942" customFormat="1" ht="45" customHeight="1">
      <c r="A10" s="1528" t="s">
        <v>5</v>
      </c>
      <c r="B10" s="1529"/>
      <c r="C10" s="963">
        <f aca="true" t="shared" si="0" ref="C10:N10">SUM(C7:C9)</f>
        <v>8488</v>
      </c>
      <c r="D10" s="964">
        <f t="shared" si="0"/>
        <v>5457</v>
      </c>
      <c r="E10" s="966">
        <f t="shared" si="0"/>
        <v>3031</v>
      </c>
      <c r="F10" s="963">
        <f t="shared" si="0"/>
        <v>9845</v>
      </c>
      <c r="G10" s="964">
        <f t="shared" si="0"/>
        <v>6121</v>
      </c>
      <c r="H10" s="966">
        <f t="shared" si="0"/>
        <v>3724</v>
      </c>
      <c r="I10" s="963">
        <f t="shared" si="0"/>
        <v>10424</v>
      </c>
      <c r="J10" s="964">
        <f t="shared" si="0"/>
        <v>6399</v>
      </c>
      <c r="K10" s="966">
        <f t="shared" si="0"/>
        <v>4025</v>
      </c>
      <c r="L10" s="963">
        <f t="shared" si="0"/>
        <v>9573</v>
      </c>
      <c r="M10" s="964">
        <f t="shared" si="0"/>
        <v>5957</v>
      </c>
      <c r="N10" s="966">
        <f t="shared" si="0"/>
        <v>3616</v>
      </c>
      <c r="O10" s="963">
        <f aca="true" t="shared" si="1" ref="O10:T10">SUM(O7:O9)</f>
        <v>8495</v>
      </c>
      <c r="P10" s="964">
        <f t="shared" si="1"/>
        <v>5336</v>
      </c>
      <c r="Q10" s="966">
        <f t="shared" si="1"/>
        <v>3159</v>
      </c>
      <c r="R10" s="963">
        <f t="shared" si="1"/>
        <v>8033</v>
      </c>
      <c r="S10" s="964">
        <f t="shared" si="1"/>
        <v>5114</v>
      </c>
      <c r="T10" s="966">
        <f t="shared" si="1"/>
        <v>2919</v>
      </c>
      <c r="U10" s="963">
        <f>SUM(U7:U9)</f>
        <v>7442</v>
      </c>
      <c r="V10" s="964">
        <f>SUM(V7:V9)</f>
        <v>4764</v>
      </c>
      <c r="W10" s="966">
        <f>SUM(W7:W9)</f>
        <v>2678</v>
      </c>
    </row>
    <row r="11" spans="1:23" s="942" customFormat="1" ht="46.5" customHeight="1">
      <c r="A11" s="946" t="s">
        <v>44</v>
      </c>
      <c r="B11" s="967"/>
      <c r="C11" s="968"/>
      <c r="D11" s="969"/>
      <c r="E11" s="968"/>
      <c r="F11" s="970"/>
      <c r="G11" s="970"/>
      <c r="H11" s="971"/>
      <c r="I11" s="970"/>
      <c r="J11" s="970"/>
      <c r="K11" s="971"/>
      <c r="L11" s="970"/>
      <c r="M11" s="970"/>
      <c r="N11" s="971"/>
      <c r="O11" s="971"/>
      <c r="P11" s="971"/>
      <c r="Q11" s="971"/>
      <c r="R11" s="970"/>
      <c r="S11" s="970"/>
      <c r="T11" s="972"/>
      <c r="U11" s="970"/>
      <c r="V11" s="970"/>
      <c r="W11" s="972"/>
    </row>
    <row r="12" spans="1:23" s="942" customFormat="1" ht="45" customHeight="1">
      <c r="A12" s="952" t="s">
        <v>97</v>
      </c>
      <c r="B12" s="953" t="s">
        <v>83</v>
      </c>
      <c r="C12" s="954">
        <f>E12+D12</f>
        <v>3467</v>
      </c>
      <c r="D12" s="955">
        <v>2203</v>
      </c>
      <c r="E12" s="973">
        <v>1264</v>
      </c>
      <c r="F12" s="954">
        <f>H12+G12</f>
        <v>3971</v>
      </c>
      <c r="G12" s="955">
        <v>2454</v>
      </c>
      <c r="H12" s="973">
        <v>1517</v>
      </c>
      <c r="I12" s="954">
        <f>K12+J12</f>
        <v>3560</v>
      </c>
      <c r="J12" s="955">
        <v>2173</v>
      </c>
      <c r="K12" s="973">
        <v>1387</v>
      </c>
      <c r="L12" s="954">
        <f>N12+M12</f>
        <v>2961</v>
      </c>
      <c r="M12" s="955">
        <v>1866</v>
      </c>
      <c r="N12" s="973">
        <v>1095</v>
      </c>
      <c r="O12" s="954">
        <f>Q12+P12</f>
        <v>2794</v>
      </c>
      <c r="P12" s="955">
        <v>1766</v>
      </c>
      <c r="Q12" s="956">
        <v>1028</v>
      </c>
      <c r="R12" s="954">
        <f>T12+S12</f>
        <v>2844</v>
      </c>
      <c r="S12" s="955">
        <v>1804</v>
      </c>
      <c r="T12" s="956">
        <v>1040</v>
      </c>
      <c r="U12" s="954">
        <f>W12+V12</f>
        <v>2549</v>
      </c>
      <c r="V12" s="955">
        <v>1647</v>
      </c>
      <c r="W12" s="956">
        <v>902</v>
      </c>
    </row>
    <row r="13" spans="1:23" s="942" customFormat="1" ht="45" customHeight="1">
      <c r="A13" s="957"/>
      <c r="B13" s="958" t="s">
        <v>84</v>
      </c>
      <c r="C13" s="959">
        <f>E13+D13</f>
        <v>2725</v>
      </c>
      <c r="D13" s="960">
        <v>1743</v>
      </c>
      <c r="E13" s="961">
        <v>982</v>
      </c>
      <c r="F13" s="959">
        <f>H13+G13</f>
        <v>3045</v>
      </c>
      <c r="G13" s="960">
        <v>1922</v>
      </c>
      <c r="H13" s="961">
        <v>1123</v>
      </c>
      <c r="I13" s="959">
        <f>K13+J13</f>
        <v>3608</v>
      </c>
      <c r="J13" s="960">
        <v>2204</v>
      </c>
      <c r="K13" s="961">
        <v>1404</v>
      </c>
      <c r="L13" s="959">
        <f>N13+M13</f>
        <v>3023</v>
      </c>
      <c r="M13" s="960">
        <v>1884</v>
      </c>
      <c r="N13" s="961">
        <v>1139</v>
      </c>
      <c r="O13" s="959">
        <f>Q13+P13</f>
        <v>2696</v>
      </c>
      <c r="P13" s="960">
        <v>1685</v>
      </c>
      <c r="Q13" s="961">
        <v>1011</v>
      </c>
      <c r="R13" s="959">
        <f>T13+S13</f>
        <v>2441</v>
      </c>
      <c r="S13" s="960">
        <v>1554</v>
      </c>
      <c r="T13" s="961">
        <v>887</v>
      </c>
      <c r="U13" s="959">
        <f>W13+V13</f>
        <v>2463</v>
      </c>
      <c r="V13" s="960">
        <v>1576</v>
      </c>
      <c r="W13" s="961">
        <v>887</v>
      </c>
    </row>
    <row r="14" spans="1:23" s="942" customFormat="1" ht="45" customHeight="1">
      <c r="A14" s="957"/>
      <c r="B14" s="962" t="s">
        <v>85</v>
      </c>
      <c r="C14" s="963">
        <f>E14+D14</f>
        <v>1856</v>
      </c>
      <c r="D14" s="964">
        <v>1234</v>
      </c>
      <c r="E14" s="965">
        <v>622</v>
      </c>
      <c r="F14" s="963">
        <f>H14+G14</f>
        <v>2350</v>
      </c>
      <c r="G14" s="964">
        <v>1444</v>
      </c>
      <c r="H14" s="965">
        <v>906</v>
      </c>
      <c r="I14" s="963">
        <f>K14+J14</f>
        <v>2735</v>
      </c>
      <c r="J14" s="964">
        <v>1718</v>
      </c>
      <c r="K14" s="965">
        <v>1017</v>
      </c>
      <c r="L14" s="963">
        <f>N14+M14</f>
        <v>3087</v>
      </c>
      <c r="M14" s="964">
        <v>1905</v>
      </c>
      <c r="N14" s="965">
        <v>1182</v>
      </c>
      <c r="O14" s="963">
        <f>Q14+P14</f>
        <v>2521</v>
      </c>
      <c r="P14" s="964">
        <v>1602</v>
      </c>
      <c r="Q14" s="965">
        <v>919</v>
      </c>
      <c r="R14" s="963">
        <f>T14+S14</f>
        <v>2289</v>
      </c>
      <c r="S14" s="964">
        <v>1476</v>
      </c>
      <c r="T14" s="965">
        <v>813</v>
      </c>
      <c r="U14" s="963">
        <f>W14+V14</f>
        <v>2016</v>
      </c>
      <c r="V14" s="964">
        <v>1288</v>
      </c>
      <c r="W14" s="965">
        <v>728</v>
      </c>
    </row>
    <row r="15" spans="1:23" s="942" customFormat="1" ht="45" customHeight="1">
      <c r="A15" s="1528" t="s">
        <v>5</v>
      </c>
      <c r="B15" s="1529"/>
      <c r="C15" s="963">
        <f aca="true" t="shared" si="2" ref="C15:N15">SUM(C12:C14)</f>
        <v>8048</v>
      </c>
      <c r="D15" s="964">
        <f t="shared" si="2"/>
        <v>5180</v>
      </c>
      <c r="E15" s="974">
        <f t="shared" si="2"/>
        <v>2868</v>
      </c>
      <c r="F15" s="963">
        <f t="shared" si="2"/>
        <v>9366</v>
      </c>
      <c r="G15" s="964">
        <f t="shared" si="2"/>
        <v>5820</v>
      </c>
      <c r="H15" s="974">
        <f t="shared" si="2"/>
        <v>3546</v>
      </c>
      <c r="I15" s="963">
        <f t="shared" si="2"/>
        <v>9903</v>
      </c>
      <c r="J15" s="964">
        <f t="shared" si="2"/>
        <v>6095</v>
      </c>
      <c r="K15" s="974">
        <f t="shared" si="2"/>
        <v>3808</v>
      </c>
      <c r="L15" s="963">
        <f t="shared" si="2"/>
        <v>9071</v>
      </c>
      <c r="M15" s="964">
        <f t="shared" si="2"/>
        <v>5655</v>
      </c>
      <c r="N15" s="974">
        <f t="shared" si="2"/>
        <v>3416</v>
      </c>
      <c r="O15" s="963">
        <f aca="true" t="shared" si="3" ref="O15:T15">SUM(O12:O14)</f>
        <v>8011</v>
      </c>
      <c r="P15" s="964">
        <f t="shared" si="3"/>
        <v>5053</v>
      </c>
      <c r="Q15" s="974">
        <f t="shared" si="3"/>
        <v>2958</v>
      </c>
      <c r="R15" s="963">
        <f t="shared" si="3"/>
        <v>7574</v>
      </c>
      <c r="S15" s="964">
        <f t="shared" si="3"/>
        <v>4834</v>
      </c>
      <c r="T15" s="974">
        <f t="shared" si="3"/>
        <v>2740</v>
      </c>
      <c r="U15" s="963">
        <f>SUM(U12:U14)</f>
        <v>7028</v>
      </c>
      <c r="V15" s="964">
        <f>SUM(V12:V14)</f>
        <v>4511</v>
      </c>
      <c r="W15" s="974">
        <f>SUM(W12:W14)</f>
        <v>2517</v>
      </c>
    </row>
    <row r="16" spans="1:23" s="942" customFormat="1" ht="45.75" customHeight="1">
      <c r="A16" s="975" t="s">
        <v>45</v>
      </c>
      <c r="B16" s="939"/>
      <c r="C16" s="968"/>
      <c r="D16" s="969"/>
      <c r="E16" s="968"/>
      <c r="F16" s="976"/>
      <c r="G16" s="976"/>
      <c r="H16" s="971"/>
      <c r="I16" s="976"/>
      <c r="J16" s="976"/>
      <c r="K16" s="971"/>
      <c r="L16" s="976"/>
      <c r="M16" s="976"/>
      <c r="N16" s="971"/>
      <c r="O16" s="971"/>
      <c r="P16" s="971"/>
      <c r="Q16" s="971"/>
      <c r="R16" s="976"/>
      <c r="S16" s="976"/>
      <c r="T16" s="972"/>
      <c r="U16" s="976"/>
      <c r="V16" s="976"/>
      <c r="W16" s="972"/>
    </row>
    <row r="17" spans="1:23" s="942" customFormat="1" ht="45" customHeight="1">
      <c r="A17" s="952" t="s">
        <v>97</v>
      </c>
      <c r="B17" s="953" t="s">
        <v>83</v>
      </c>
      <c r="C17" s="977">
        <f aca="true" t="shared" si="4" ref="C17:E20">C7-C12</f>
        <v>174</v>
      </c>
      <c r="D17" s="978">
        <f t="shared" si="4"/>
        <v>99</v>
      </c>
      <c r="E17" s="956">
        <f t="shared" si="4"/>
        <v>75</v>
      </c>
      <c r="F17" s="977">
        <f aca="true" t="shared" si="5" ref="F17:Q17">F7-F12</f>
        <v>193</v>
      </c>
      <c r="G17" s="978">
        <f t="shared" si="5"/>
        <v>129</v>
      </c>
      <c r="H17" s="956">
        <f t="shared" si="5"/>
        <v>64</v>
      </c>
      <c r="I17" s="977">
        <f t="shared" si="5"/>
        <v>187</v>
      </c>
      <c r="J17" s="978">
        <f t="shared" si="5"/>
        <v>100</v>
      </c>
      <c r="K17" s="956">
        <f t="shared" si="5"/>
        <v>87</v>
      </c>
      <c r="L17" s="977">
        <f t="shared" si="5"/>
        <v>185</v>
      </c>
      <c r="M17" s="978">
        <f t="shared" si="5"/>
        <v>112</v>
      </c>
      <c r="N17" s="956">
        <f t="shared" si="5"/>
        <v>73</v>
      </c>
      <c r="O17" s="977">
        <f t="shared" si="5"/>
        <v>177</v>
      </c>
      <c r="P17" s="978">
        <f t="shared" si="5"/>
        <v>103</v>
      </c>
      <c r="Q17" s="956">
        <f t="shared" si="5"/>
        <v>74</v>
      </c>
      <c r="R17" s="977">
        <f aca="true" t="shared" si="6" ref="R17:T20">R7-R12</f>
        <v>137</v>
      </c>
      <c r="S17" s="978">
        <f t="shared" si="6"/>
        <v>85</v>
      </c>
      <c r="T17" s="956">
        <f t="shared" si="6"/>
        <v>52</v>
      </c>
      <c r="U17" s="977">
        <f aca="true" t="shared" si="7" ref="U17:W20">U7-U12</f>
        <v>142</v>
      </c>
      <c r="V17" s="978">
        <f t="shared" si="7"/>
        <v>89</v>
      </c>
      <c r="W17" s="956">
        <f t="shared" si="7"/>
        <v>53</v>
      </c>
    </row>
    <row r="18" spans="1:23" s="942" customFormat="1" ht="45" customHeight="1">
      <c r="A18" s="957"/>
      <c r="B18" s="958" t="s">
        <v>84</v>
      </c>
      <c r="C18" s="979">
        <f t="shared" si="4"/>
        <v>141</v>
      </c>
      <c r="D18" s="980">
        <f t="shared" si="4"/>
        <v>90</v>
      </c>
      <c r="E18" s="961">
        <f t="shared" si="4"/>
        <v>51</v>
      </c>
      <c r="F18" s="979">
        <f aca="true" t="shared" si="8" ref="F18:Q18">F8-F13</f>
        <v>163</v>
      </c>
      <c r="G18" s="980">
        <f t="shared" si="8"/>
        <v>92</v>
      </c>
      <c r="H18" s="961">
        <f t="shared" si="8"/>
        <v>71</v>
      </c>
      <c r="I18" s="979">
        <f t="shared" si="8"/>
        <v>180</v>
      </c>
      <c r="J18" s="980">
        <f t="shared" si="8"/>
        <v>117</v>
      </c>
      <c r="K18" s="961">
        <f t="shared" si="8"/>
        <v>63</v>
      </c>
      <c r="L18" s="979">
        <f t="shared" si="8"/>
        <v>169</v>
      </c>
      <c r="M18" s="980">
        <f t="shared" si="8"/>
        <v>88</v>
      </c>
      <c r="N18" s="961">
        <f t="shared" si="8"/>
        <v>81</v>
      </c>
      <c r="O18" s="979">
        <f t="shared" si="8"/>
        <v>162</v>
      </c>
      <c r="P18" s="980">
        <f t="shared" si="8"/>
        <v>102</v>
      </c>
      <c r="Q18" s="961">
        <f t="shared" si="8"/>
        <v>60</v>
      </c>
      <c r="R18" s="979">
        <f t="shared" si="6"/>
        <v>171</v>
      </c>
      <c r="S18" s="980">
        <f t="shared" si="6"/>
        <v>101</v>
      </c>
      <c r="T18" s="961">
        <f t="shared" si="6"/>
        <v>70</v>
      </c>
      <c r="U18" s="979">
        <f t="shared" si="7"/>
        <v>126</v>
      </c>
      <c r="V18" s="980">
        <f t="shared" si="7"/>
        <v>78</v>
      </c>
      <c r="W18" s="961">
        <f t="shared" si="7"/>
        <v>48</v>
      </c>
    </row>
    <row r="19" spans="1:23" s="942" customFormat="1" ht="45" customHeight="1">
      <c r="A19" s="957"/>
      <c r="B19" s="958" t="s">
        <v>85</v>
      </c>
      <c r="C19" s="981">
        <f t="shared" si="4"/>
        <v>125</v>
      </c>
      <c r="D19" s="982">
        <f t="shared" si="4"/>
        <v>88</v>
      </c>
      <c r="E19" s="965">
        <f t="shared" si="4"/>
        <v>37</v>
      </c>
      <c r="F19" s="981">
        <f aca="true" t="shared" si="9" ref="F19:Q19">F9-F14</f>
        <v>123</v>
      </c>
      <c r="G19" s="982">
        <f t="shared" si="9"/>
        <v>80</v>
      </c>
      <c r="H19" s="965">
        <f t="shared" si="9"/>
        <v>43</v>
      </c>
      <c r="I19" s="981">
        <f t="shared" si="9"/>
        <v>154</v>
      </c>
      <c r="J19" s="982">
        <f t="shared" si="9"/>
        <v>87</v>
      </c>
      <c r="K19" s="965">
        <f t="shared" si="9"/>
        <v>67</v>
      </c>
      <c r="L19" s="981">
        <f t="shared" si="9"/>
        <v>148</v>
      </c>
      <c r="M19" s="982">
        <f t="shared" si="9"/>
        <v>102</v>
      </c>
      <c r="N19" s="965">
        <f t="shared" si="9"/>
        <v>46</v>
      </c>
      <c r="O19" s="981">
        <f t="shared" si="9"/>
        <v>145</v>
      </c>
      <c r="P19" s="982">
        <f t="shared" si="9"/>
        <v>78</v>
      </c>
      <c r="Q19" s="965">
        <f t="shared" si="9"/>
        <v>67</v>
      </c>
      <c r="R19" s="981">
        <f t="shared" si="6"/>
        <v>151</v>
      </c>
      <c r="S19" s="982">
        <f t="shared" si="6"/>
        <v>94</v>
      </c>
      <c r="T19" s="965">
        <f t="shared" si="6"/>
        <v>57</v>
      </c>
      <c r="U19" s="981">
        <f t="shared" si="7"/>
        <v>146</v>
      </c>
      <c r="V19" s="982">
        <f t="shared" si="7"/>
        <v>86</v>
      </c>
      <c r="W19" s="965">
        <f t="shared" si="7"/>
        <v>60</v>
      </c>
    </row>
    <row r="20" spans="1:23" s="942" customFormat="1" ht="45" customHeight="1">
      <c r="A20" s="1528" t="s">
        <v>5</v>
      </c>
      <c r="B20" s="1529"/>
      <c r="C20" s="981">
        <f t="shared" si="4"/>
        <v>440</v>
      </c>
      <c r="D20" s="982">
        <f t="shared" si="4"/>
        <v>277</v>
      </c>
      <c r="E20" s="965">
        <f t="shared" si="4"/>
        <v>163</v>
      </c>
      <c r="F20" s="981">
        <f aca="true" t="shared" si="10" ref="F20:Q20">F10-F15</f>
        <v>479</v>
      </c>
      <c r="G20" s="982">
        <f t="shared" si="10"/>
        <v>301</v>
      </c>
      <c r="H20" s="965">
        <f t="shared" si="10"/>
        <v>178</v>
      </c>
      <c r="I20" s="981">
        <f t="shared" si="10"/>
        <v>521</v>
      </c>
      <c r="J20" s="982">
        <f t="shared" si="10"/>
        <v>304</v>
      </c>
      <c r="K20" s="965">
        <f t="shared" si="10"/>
        <v>217</v>
      </c>
      <c r="L20" s="981">
        <f t="shared" si="10"/>
        <v>502</v>
      </c>
      <c r="M20" s="982">
        <f t="shared" si="10"/>
        <v>302</v>
      </c>
      <c r="N20" s="965">
        <f t="shared" si="10"/>
        <v>200</v>
      </c>
      <c r="O20" s="981">
        <f t="shared" si="10"/>
        <v>484</v>
      </c>
      <c r="P20" s="982">
        <f t="shared" si="10"/>
        <v>283</v>
      </c>
      <c r="Q20" s="965">
        <f t="shared" si="10"/>
        <v>201</v>
      </c>
      <c r="R20" s="981">
        <f t="shared" si="6"/>
        <v>459</v>
      </c>
      <c r="S20" s="982">
        <f t="shared" si="6"/>
        <v>280</v>
      </c>
      <c r="T20" s="965">
        <f t="shared" si="6"/>
        <v>179</v>
      </c>
      <c r="U20" s="981">
        <f t="shared" si="7"/>
        <v>414</v>
      </c>
      <c r="V20" s="982">
        <f t="shared" si="7"/>
        <v>253</v>
      </c>
      <c r="W20" s="965">
        <f t="shared" si="7"/>
        <v>161</v>
      </c>
    </row>
    <row r="21" spans="1:2" s="985" customFormat="1" ht="19.5" customHeight="1">
      <c r="A21" s="983"/>
      <c r="B21" s="984"/>
    </row>
  </sheetData>
  <sheetProtection/>
  <mergeCells count="6">
    <mergeCell ref="A10:B10"/>
    <mergeCell ref="A15:B15"/>
    <mergeCell ref="A20:B20"/>
    <mergeCell ref="L4:N4"/>
    <mergeCell ref="A4:B4"/>
    <mergeCell ref="A5:B5"/>
  </mergeCells>
  <printOptions/>
  <pageMargins left="0.45" right="0.65" top="0.75" bottom="0" header="0.5" footer="0"/>
  <pageSetup horizontalDpi="600" verticalDpi="600" orientation="portrait" paperSize="9" r:id="rId1"/>
  <headerFooter alignWithMargins="0">
    <oddHeader>&amp;C&amp;"Times New Roman,Regular"&amp;11- 27 -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Y8" sqref="Y8"/>
    </sheetView>
  </sheetViews>
  <sheetFormatPr defaultColWidth="9.140625" defaultRowHeight="12.75"/>
  <cols>
    <col min="1" max="1" width="1.57421875" style="895" customWidth="1"/>
    <col min="2" max="2" width="15.00390625" style="895" customWidth="1"/>
    <col min="3" max="8" width="8.140625" style="895" hidden="1" customWidth="1"/>
    <col min="9" max="13" width="8.28125" style="895" hidden="1" customWidth="1"/>
    <col min="14" max="14" width="8.28125" style="896" hidden="1" customWidth="1"/>
    <col min="15" max="17" width="8.28125" style="896" customWidth="1"/>
    <col min="18" max="19" width="8.28125" style="895" customWidth="1"/>
    <col min="20" max="20" width="8.28125" style="896" customWidth="1"/>
    <col min="21" max="22" width="8.28125" style="895" customWidth="1"/>
    <col min="23" max="23" width="8.28125" style="896" customWidth="1"/>
    <col min="24" max="16384" width="9.140625" style="895" customWidth="1"/>
  </cols>
  <sheetData>
    <row r="1" spans="1:23" s="892" customFormat="1" ht="18" customHeight="1">
      <c r="A1" s="891" t="s">
        <v>306</v>
      </c>
      <c r="N1" s="893"/>
      <c r="O1" s="893"/>
      <c r="P1" s="893"/>
      <c r="Q1" s="893"/>
      <c r="T1" s="893"/>
      <c r="W1" s="893"/>
    </row>
    <row r="2" spans="1:23" s="892" customFormat="1" ht="16.5" customHeight="1">
      <c r="A2" s="891"/>
      <c r="B2" s="1162" t="s">
        <v>347</v>
      </c>
      <c r="N2" s="893"/>
      <c r="O2" s="893"/>
      <c r="P2" s="893"/>
      <c r="Q2" s="893"/>
      <c r="T2" s="893"/>
      <c r="W2" s="893"/>
    </row>
    <row r="3" spans="1:23" s="892" customFormat="1" ht="24.75" customHeight="1">
      <c r="A3" s="894" t="s">
        <v>100</v>
      </c>
      <c r="N3" s="893"/>
      <c r="O3" s="893"/>
      <c r="P3" s="893"/>
      <c r="Q3" s="893"/>
      <c r="T3" s="893"/>
      <c r="W3" s="893"/>
    </row>
    <row r="4" ht="12.75" customHeight="1"/>
    <row r="5" spans="1:23" s="900" customFormat="1" ht="20.25" customHeight="1">
      <c r="A5" s="1594" t="s">
        <v>475</v>
      </c>
      <c r="B5" s="1595"/>
      <c r="C5" s="897">
        <v>2004</v>
      </c>
      <c r="D5" s="898"/>
      <c r="E5" s="899"/>
      <c r="F5" s="897">
        <v>2005</v>
      </c>
      <c r="G5" s="898"/>
      <c r="H5" s="899"/>
      <c r="I5" s="897">
        <v>2006</v>
      </c>
      <c r="J5" s="898"/>
      <c r="K5" s="899"/>
      <c r="L5" s="1536">
        <v>2007</v>
      </c>
      <c r="M5" s="1537"/>
      <c r="N5" s="1538"/>
      <c r="O5" s="1539">
        <v>2008</v>
      </c>
      <c r="P5" s="1540"/>
      <c r="Q5" s="1541"/>
      <c r="R5" s="1539">
        <v>2009</v>
      </c>
      <c r="S5" s="1540"/>
      <c r="T5" s="1541"/>
      <c r="U5" s="1539">
        <v>2010</v>
      </c>
      <c r="V5" s="1540"/>
      <c r="W5" s="1541"/>
    </row>
    <row r="6" spans="1:23" s="900" customFormat="1" ht="26.25" customHeight="1">
      <c r="A6" s="1596" t="s">
        <v>473</v>
      </c>
      <c r="B6" s="1597"/>
      <c r="C6" s="901" t="s">
        <v>5</v>
      </c>
      <c r="D6" s="902" t="s">
        <v>39</v>
      </c>
      <c r="E6" s="903" t="s">
        <v>40</v>
      </c>
      <c r="F6" s="901" t="s">
        <v>5</v>
      </c>
      <c r="G6" s="902" t="s">
        <v>39</v>
      </c>
      <c r="H6" s="903" t="s">
        <v>40</v>
      </c>
      <c r="I6" s="901" t="s">
        <v>5</v>
      </c>
      <c r="J6" s="902" t="s">
        <v>39</v>
      </c>
      <c r="K6" s="903" t="s">
        <v>40</v>
      </c>
      <c r="L6" s="901" t="s">
        <v>5</v>
      </c>
      <c r="M6" s="902" t="s">
        <v>39</v>
      </c>
      <c r="N6" s="903" t="s">
        <v>40</v>
      </c>
      <c r="O6" s="1163" t="s">
        <v>5</v>
      </c>
      <c r="P6" s="1164" t="s">
        <v>39</v>
      </c>
      <c r="Q6" s="1165" t="s">
        <v>40</v>
      </c>
      <c r="R6" s="1163" t="s">
        <v>5</v>
      </c>
      <c r="S6" s="1164" t="s">
        <v>39</v>
      </c>
      <c r="T6" s="1165" t="s">
        <v>40</v>
      </c>
      <c r="U6" s="1163" t="s">
        <v>5</v>
      </c>
      <c r="V6" s="1164" t="s">
        <v>39</v>
      </c>
      <c r="W6" s="1165" t="s">
        <v>40</v>
      </c>
    </row>
    <row r="7" spans="1:23" s="904" customFormat="1" ht="44.25" customHeight="1">
      <c r="A7" s="1533" t="s">
        <v>74</v>
      </c>
      <c r="B7" s="1534"/>
      <c r="C7" s="1534"/>
      <c r="D7" s="1534"/>
      <c r="E7" s="1534"/>
      <c r="F7" s="1534"/>
      <c r="G7" s="1534"/>
      <c r="H7" s="1534"/>
      <c r="I7" s="1534"/>
      <c r="J7" s="1534"/>
      <c r="K7" s="1534"/>
      <c r="L7" s="1534"/>
      <c r="M7" s="1534"/>
      <c r="N7" s="1534"/>
      <c r="O7" s="1534"/>
      <c r="P7" s="1534"/>
      <c r="Q7" s="1534"/>
      <c r="R7" s="1534"/>
      <c r="S7" s="1534"/>
      <c r="T7" s="1534"/>
      <c r="U7" s="1534"/>
      <c r="V7" s="1534"/>
      <c r="W7" s="1535"/>
    </row>
    <row r="8" spans="1:23" s="910" customFormat="1" ht="43.5" customHeight="1">
      <c r="A8" s="905" t="s">
        <v>97</v>
      </c>
      <c r="B8" s="906" t="s">
        <v>83</v>
      </c>
      <c r="C8" s="907">
        <f>E8+D8</f>
        <v>3641</v>
      </c>
      <c r="D8" s="908">
        <v>2302</v>
      </c>
      <c r="E8" s="909">
        <v>1339</v>
      </c>
      <c r="F8" s="907">
        <f>H8+G8</f>
        <v>4164</v>
      </c>
      <c r="G8" s="908">
        <v>2583</v>
      </c>
      <c r="H8" s="909">
        <v>1581</v>
      </c>
      <c r="I8" s="907">
        <f>K8+J8</f>
        <v>3747</v>
      </c>
      <c r="J8" s="908">
        <v>2273</v>
      </c>
      <c r="K8" s="909">
        <v>1474</v>
      </c>
      <c r="L8" s="907">
        <f>N8+M8</f>
        <v>3146</v>
      </c>
      <c r="M8" s="908">
        <v>1978</v>
      </c>
      <c r="N8" s="909">
        <v>1168</v>
      </c>
      <c r="O8" s="907">
        <f>Q8+P8</f>
        <v>2971</v>
      </c>
      <c r="P8" s="908">
        <v>1869</v>
      </c>
      <c r="Q8" s="909">
        <v>1102</v>
      </c>
      <c r="R8" s="907">
        <f>T8+S8</f>
        <v>2981</v>
      </c>
      <c r="S8" s="955">
        <v>1889</v>
      </c>
      <c r="T8" s="956">
        <v>1092</v>
      </c>
      <c r="U8" s="907">
        <f>W8+V8</f>
        <v>2691</v>
      </c>
      <c r="V8" s="955">
        <v>1736</v>
      </c>
      <c r="W8" s="956">
        <v>955</v>
      </c>
    </row>
    <row r="9" spans="1:23" s="910" customFormat="1" ht="43.5" customHeight="1">
      <c r="A9" s="911"/>
      <c r="B9" s="912" t="s">
        <v>84</v>
      </c>
      <c r="C9" s="913">
        <f>E9+D9</f>
        <v>2866</v>
      </c>
      <c r="D9" s="914">
        <v>1833</v>
      </c>
      <c r="E9" s="915">
        <v>1033</v>
      </c>
      <c r="F9" s="913">
        <f>H9+G9</f>
        <v>3208</v>
      </c>
      <c r="G9" s="914">
        <v>2014</v>
      </c>
      <c r="H9" s="915">
        <v>1194</v>
      </c>
      <c r="I9" s="913">
        <f>K9+J9</f>
        <v>3788</v>
      </c>
      <c r="J9" s="914">
        <v>2321</v>
      </c>
      <c r="K9" s="915">
        <v>1467</v>
      </c>
      <c r="L9" s="913">
        <f>N9+M9</f>
        <v>3192</v>
      </c>
      <c r="M9" s="914">
        <v>1972</v>
      </c>
      <c r="N9" s="915">
        <v>1220</v>
      </c>
      <c r="O9" s="913">
        <f>Q9+P9</f>
        <v>2858</v>
      </c>
      <c r="P9" s="914">
        <v>1787</v>
      </c>
      <c r="Q9" s="915">
        <v>1071</v>
      </c>
      <c r="R9" s="913">
        <f>T9+S9</f>
        <v>2612</v>
      </c>
      <c r="S9" s="960">
        <v>1655</v>
      </c>
      <c r="T9" s="961">
        <v>957</v>
      </c>
      <c r="U9" s="913">
        <f>W9+V9</f>
        <v>2589</v>
      </c>
      <c r="V9" s="960">
        <v>1654</v>
      </c>
      <c r="W9" s="961">
        <v>935</v>
      </c>
    </row>
    <row r="10" spans="1:23" s="910" customFormat="1" ht="43.5" customHeight="1">
      <c r="A10" s="911"/>
      <c r="B10" s="912" t="s">
        <v>85</v>
      </c>
      <c r="C10" s="916">
        <f>E10+D10</f>
        <v>1981</v>
      </c>
      <c r="D10" s="914">
        <v>1322</v>
      </c>
      <c r="E10" s="917">
        <v>659</v>
      </c>
      <c r="F10" s="916">
        <f>H10+G10</f>
        <v>2473</v>
      </c>
      <c r="G10" s="914">
        <v>1524</v>
      </c>
      <c r="H10" s="917">
        <v>949</v>
      </c>
      <c r="I10" s="916">
        <f>K10+J10</f>
        <v>2889</v>
      </c>
      <c r="J10" s="914">
        <v>1805</v>
      </c>
      <c r="K10" s="917">
        <v>1084</v>
      </c>
      <c r="L10" s="916">
        <f>N10+M10</f>
        <v>3235</v>
      </c>
      <c r="M10" s="914">
        <v>2007</v>
      </c>
      <c r="N10" s="917">
        <v>1228</v>
      </c>
      <c r="O10" s="916">
        <f>Q10+P10</f>
        <v>2666</v>
      </c>
      <c r="P10" s="914">
        <v>1680</v>
      </c>
      <c r="Q10" s="917">
        <v>986</v>
      </c>
      <c r="R10" s="916">
        <f>T10+S10</f>
        <v>2440</v>
      </c>
      <c r="S10" s="964">
        <v>1570</v>
      </c>
      <c r="T10" s="965">
        <v>870</v>
      </c>
      <c r="U10" s="916">
        <f>W10+V10</f>
        <v>2162</v>
      </c>
      <c r="V10" s="964">
        <v>1374</v>
      </c>
      <c r="W10" s="965">
        <v>788</v>
      </c>
    </row>
    <row r="11" spans="1:23" s="910" customFormat="1" ht="43.5" customHeight="1">
      <c r="A11" s="918"/>
      <c r="B11" s="919" t="s">
        <v>5</v>
      </c>
      <c r="C11" s="920">
        <f aca="true" t="shared" si="0" ref="C11:T11">SUM(C8:C10)</f>
        <v>8488</v>
      </c>
      <c r="D11" s="921">
        <f t="shared" si="0"/>
        <v>5457</v>
      </c>
      <c r="E11" s="917">
        <f t="shared" si="0"/>
        <v>3031</v>
      </c>
      <c r="F11" s="920">
        <f t="shared" si="0"/>
        <v>9845</v>
      </c>
      <c r="G11" s="921">
        <f t="shared" si="0"/>
        <v>6121</v>
      </c>
      <c r="H11" s="917">
        <f t="shared" si="0"/>
        <v>3724</v>
      </c>
      <c r="I11" s="920">
        <f t="shared" si="0"/>
        <v>10424</v>
      </c>
      <c r="J11" s="921">
        <f t="shared" si="0"/>
        <v>6399</v>
      </c>
      <c r="K11" s="917">
        <f t="shared" si="0"/>
        <v>4025</v>
      </c>
      <c r="L11" s="920">
        <f t="shared" si="0"/>
        <v>9573</v>
      </c>
      <c r="M11" s="921">
        <f t="shared" si="0"/>
        <v>5957</v>
      </c>
      <c r="N11" s="917">
        <f t="shared" si="0"/>
        <v>3616</v>
      </c>
      <c r="O11" s="920">
        <f>SUM(O8:O10)</f>
        <v>8495</v>
      </c>
      <c r="P11" s="921">
        <f>SUM(P8:P10)</f>
        <v>5336</v>
      </c>
      <c r="Q11" s="917">
        <f>SUM(Q8:Q10)</f>
        <v>3159</v>
      </c>
      <c r="R11" s="920">
        <f t="shared" si="0"/>
        <v>8033</v>
      </c>
      <c r="S11" s="921">
        <f t="shared" si="0"/>
        <v>5114</v>
      </c>
      <c r="T11" s="917">
        <f t="shared" si="0"/>
        <v>2919</v>
      </c>
      <c r="U11" s="920">
        <f>SUM(U8:U10)</f>
        <v>7442</v>
      </c>
      <c r="V11" s="921">
        <f>SUM(V8:V10)</f>
        <v>4764</v>
      </c>
      <c r="W11" s="917">
        <f>SUM(W8:W10)</f>
        <v>2678</v>
      </c>
    </row>
    <row r="12" spans="1:23" s="923" customFormat="1" ht="44.25" customHeight="1">
      <c r="A12" s="1533" t="s">
        <v>165</v>
      </c>
      <c r="B12" s="1534"/>
      <c r="C12" s="1534"/>
      <c r="D12" s="1534"/>
      <c r="E12" s="1534"/>
      <c r="F12" s="1534"/>
      <c r="G12" s="1534"/>
      <c r="H12" s="1534"/>
      <c r="I12" s="1534"/>
      <c r="J12" s="1534"/>
      <c r="K12" s="1534"/>
      <c r="L12" s="1534"/>
      <c r="M12" s="1534"/>
      <c r="N12" s="1534"/>
      <c r="O12" s="1534"/>
      <c r="P12" s="1534"/>
      <c r="Q12" s="1534"/>
      <c r="R12" s="1534"/>
      <c r="S12" s="1534"/>
      <c r="T12" s="1534"/>
      <c r="U12" s="1534"/>
      <c r="V12" s="1534"/>
      <c r="W12" s="1535"/>
    </row>
    <row r="13" spans="1:23" s="910" customFormat="1" ht="43.5" customHeight="1">
      <c r="A13" s="905" t="s">
        <v>97</v>
      </c>
      <c r="B13" s="906" t="s">
        <v>83</v>
      </c>
      <c r="C13" s="913">
        <f>E13+D13</f>
        <v>1530</v>
      </c>
      <c r="D13" s="924">
        <v>1060</v>
      </c>
      <c r="E13" s="909">
        <v>470</v>
      </c>
      <c r="F13" s="913">
        <f>H13+G13</f>
        <v>1533</v>
      </c>
      <c r="G13" s="924">
        <v>921</v>
      </c>
      <c r="H13" s="909">
        <v>612</v>
      </c>
      <c r="I13" s="913">
        <f>K13+J13</f>
        <v>1400</v>
      </c>
      <c r="J13" s="924">
        <v>921</v>
      </c>
      <c r="K13" s="909">
        <v>479</v>
      </c>
      <c r="L13" s="913">
        <f>N13+M13</f>
        <v>1000</v>
      </c>
      <c r="M13" s="924">
        <v>700</v>
      </c>
      <c r="N13" s="909">
        <v>300</v>
      </c>
      <c r="O13" s="913">
        <f>Q13+P13</f>
        <v>893</v>
      </c>
      <c r="P13" s="924">
        <v>599</v>
      </c>
      <c r="Q13" s="909">
        <v>294</v>
      </c>
      <c r="R13" s="913">
        <f>T13+S13</f>
        <v>891</v>
      </c>
      <c r="S13" s="924">
        <v>562</v>
      </c>
      <c r="T13" s="909">
        <v>329</v>
      </c>
      <c r="U13" s="913">
        <f>W13+V13</f>
        <v>778</v>
      </c>
      <c r="V13" s="924">
        <v>507</v>
      </c>
      <c r="W13" s="909">
        <v>271</v>
      </c>
    </row>
    <row r="14" spans="1:23" s="910" customFormat="1" ht="43.5" customHeight="1">
      <c r="A14" s="911"/>
      <c r="B14" s="912" t="s">
        <v>84</v>
      </c>
      <c r="C14" s="913">
        <f>E14+D14</f>
        <v>1138</v>
      </c>
      <c r="D14" s="925">
        <v>728</v>
      </c>
      <c r="E14" s="915">
        <v>410</v>
      </c>
      <c r="F14" s="913">
        <f>H14+G14</f>
        <v>1510</v>
      </c>
      <c r="G14" s="925">
        <v>1039</v>
      </c>
      <c r="H14" s="915">
        <v>471</v>
      </c>
      <c r="I14" s="913">
        <f>K14+J14</f>
        <v>1405</v>
      </c>
      <c r="J14" s="925">
        <v>815</v>
      </c>
      <c r="K14" s="915">
        <v>590</v>
      </c>
      <c r="L14" s="913">
        <f>N14+M14</f>
        <v>1198</v>
      </c>
      <c r="M14" s="925">
        <v>807</v>
      </c>
      <c r="N14" s="915">
        <v>391</v>
      </c>
      <c r="O14" s="913">
        <f>Q14+P14</f>
        <v>959</v>
      </c>
      <c r="P14" s="925">
        <v>637</v>
      </c>
      <c r="Q14" s="915">
        <v>322</v>
      </c>
      <c r="R14" s="913">
        <f>T14+S14</f>
        <v>739</v>
      </c>
      <c r="S14" s="925">
        <v>501</v>
      </c>
      <c r="T14" s="915">
        <v>238</v>
      </c>
      <c r="U14" s="913">
        <f>W14+V14</f>
        <v>765</v>
      </c>
      <c r="V14" s="925">
        <v>477</v>
      </c>
      <c r="W14" s="915">
        <v>288</v>
      </c>
    </row>
    <row r="15" spans="1:23" s="910" customFormat="1" ht="43.5" customHeight="1">
      <c r="A15" s="911"/>
      <c r="B15" s="912" t="s">
        <v>85</v>
      </c>
      <c r="C15" s="913">
        <f>E15+D15</f>
        <v>735</v>
      </c>
      <c r="D15" s="926">
        <v>520</v>
      </c>
      <c r="E15" s="917">
        <v>215</v>
      </c>
      <c r="F15" s="913">
        <f>H15+G15</f>
        <v>1056</v>
      </c>
      <c r="G15" s="926">
        <v>647</v>
      </c>
      <c r="H15" s="917">
        <v>409</v>
      </c>
      <c r="I15" s="913">
        <f>K15+J15</f>
        <v>1382</v>
      </c>
      <c r="J15" s="926">
        <v>944</v>
      </c>
      <c r="K15" s="917">
        <v>438</v>
      </c>
      <c r="L15" s="913">
        <f>N15+M15</f>
        <v>1295</v>
      </c>
      <c r="M15" s="926">
        <v>758</v>
      </c>
      <c r="N15" s="917">
        <v>537</v>
      </c>
      <c r="O15" s="913">
        <f>Q15+P15</f>
        <v>1010</v>
      </c>
      <c r="P15" s="926">
        <v>699</v>
      </c>
      <c r="Q15" s="917">
        <v>311</v>
      </c>
      <c r="R15" s="913">
        <f>T15+S15</f>
        <v>781</v>
      </c>
      <c r="S15" s="926">
        <v>542</v>
      </c>
      <c r="T15" s="917">
        <v>239</v>
      </c>
      <c r="U15" s="913">
        <f>W15+V15</f>
        <v>583</v>
      </c>
      <c r="V15" s="926">
        <v>391</v>
      </c>
      <c r="W15" s="917">
        <v>192</v>
      </c>
    </row>
    <row r="16" spans="1:23" s="910" customFormat="1" ht="43.5" customHeight="1">
      <c r="A16" s="927" t="s">
        <v>5</v>
      </c>
      <c r="B16" s="919"/>
      <c r="C16" s="920">
        <f aca="true" t="shared" si="1" ref="C16:T16">SUM(C13:C15)</f>
        <v>3403</v>
      </c>
      <c r="D16" s="926">
        <f t="shared" si="1"/>
        <v>2308</v>
      </c>
      <c r="E16" s="917">
        <f t="shared" si="1"/>
        <v>1095</v>
      </c>
      <c r="F16" s="920">
        <f t="shared" si="1"/>
        <v>4099</v>
      </c>
      <c r="G16" s="926">
        <f t="shared" si="1"/>
        <v>2607</v>
      </c>
      <c r="H16" s="917">
        <f t="shared" si="1"/>
        <v>1492</v>
      </c>
      <c r="I16" s="920">
        <f t="shared" si="1"/>
        <v>4187</v>
      </c>
      <c r="J16" s="926">
        <f t="shared" si="1"/>
        <v>2680</v>
      </c>
      <c r="K16" s="917">
        <f t="shared" si="1"/>
        <v>1507</v>
      </c>
      <c r="L16" s="920">
        <f t="shared" si="1"/>
        <v>3493</v>
      </c>
      <c r="M16" s="926">
        <f t="shared" si="1"/>
        <v>2265</v>
      </c>
      <c r="N16" s="917">
        <f t="shared" si="1"/>
        <v>1228</v>
      </c>
      <c r="O16" s="920">
        <f>SUM(O13:O15)</f>
        <v>2862</v>
      </c>
      <c r="P16" s="926">
        <f>SUM(P13:P15)</f>
        <v>1935</v>
      </c>
      <c r="Q16" s="917">
        <f>SUM(Q13:Q15)</f>
        <v>927</v>
      </c>
      <c r="R16" s="920">
        <f t="shared" si="1"/>
        <v>2411</v>
      </c>
      <c r="S16" s="926">
        <f t="shared" si="1"/>
        <v>1605</v>
      </c>
      <c r="T16" s="917">
        <f t="shared" si="1"/>
        <v>806</v>
      </c>
      <c r="U16" s="920">
        <f>SUM(U13:U15)</f>
        <v>2126</v>
      </c>
      <c r="V16" s="926">
        <f>SUM(V13:V15)</f>
        <v>1375</v>
      </c>
      <c r="W16" s="917">
        <f>SUM(W13:W15)</f>
        <v>751</v>
      </c>
    </row>
    <row r="17" spans="1:23" s="923" customFormat="1" ht="44.25" customHeight="1">
      <c r="A17" s="1533" t="s">
        <v>51</v>
      </c>
      <c r="B17" s="1534"/>
      <c r="C17" s="1534"/>
      <c r="D17" s="1534"/>
      <c r="E17" s="1534"/>
      <c r="F17" s="1534"/>
      <c r="G17" s="1534"/>
      <c r="H17" s="1534"/>
      <c r="I17" s="1534"/>
      <c r="J17" s="1534"/>
      <c r="K17" s="1534"/>
      <c r="L17" s="1534"/>
      <c r="M17" s="1534"/>
      <c r="N17" s="1534"/>
      <c r="O17" s="1534"/>
      <c r="P17" s="1534"/>
      <c r="Q17" s="1534"/>
      <c r="R17" s="1534"/>
      <c r="S17" s="1534"/>
      <c r="T17" s="1534"/>
      <c r="U17" s="1534"/>
      <c r="V17" s="1534"/>
      <c r="W17" s="1535"/>
    </row>
    <row r="18" spans="1:23" s="910" customFormat="1" ht="45" customHeight="1">
      <c r="A18" s="905" t="s">
        <v>97</v>
      </c>
      <c r="B18" s="922" t="s">
        <v>83</v>
      </c>
      <c r="C18" s="907">
        <f aca="true" t="shared" si="2" ref="C18:E21">C8-C13</f>
        <v>2111</v>
      </c>
      <c r="D18" s="924">
        <f t="shared" si="2"/>
        <v>1242</v>
      </c>
      <c r="E18" s="909">
        <f t="shared" si="2"/>
        <v>869</v>
      </c>
      <c r="F18" s="928">
        <f aca="true" t="shared" si="3" ref="F18:Q18">F8-F13</f>
        <v>2631</v>
      </c>
      <c r="G18" s="924">
        <f t="shared" si="3"/>
        <v>1662</v>
      </c>
      <c r="H18" s="909">
        <f t="shared" si="3"/>
        <v>969</v>
      </c>
      <c r="I18" s="986">
        <f t="shared" si="3"/>
        <v>2347</v>
      </c>
      <c r="J18" s="924">
        <f t="shared" si="3"/>
        <v>1352</v>
      </c>
      <c r="K18" s="909">
        <f t="shared" si="3"/>
        <v>995</v>
      </c>
      <c r="L18" s="928">
        <f t="shared" si="3"/>
        <v>2146</v>
      </c>
      <c r="M18" s="924">
        <f t="shared" si="3"/>
        <v>1278</v>
      </c>
      <c r="N18" s="909">
        <f t="shared" si="3"/>
        <v>868</v>
      </c>
      <c r="O18" s="928">
        <f t="shared" si="3"/>
        <v>2078</v>
      </c>
      <c r="P18" s="924">
        <f t="shared" si="3"/>
        <v>1270</v>
      </c>
      <c r="Q18" s="909">
        <f t="shared" si="3"/>
        <v>808</v>
      </c>
      <c r="R18" s="928">
        <f aca="true" t="shared" si="4" ref="R18:T21">R8-R13</f>
        <v>2090</v>
      </c>
      <c r="S18" s="924">
        <f t="shared" si="4"/>
        <v>1327</v>
      </c>
      <c r="T18" s="909">
        <f t="shared" si="4"/>
        <v>763</v>
      </c>
      <c r="U18" s="928">
        <f aca="true" t="shared" si="5" ref="U18:W21">U8-U13</f>
        <v>1913</v>
      </c>
      <c r="V18" s="924">
        <f t="shared" si="5"/>
        <v>1229</v>
      </c>
      <c r="W18" s="909">
        <f t="shared" si="5"/>
        <v>684</v>
      </c>
    </row>
    <row r="19" spans="1:23" s="910" customFormat="1" ht="45" customHeight="1">
      <c r="A19" s="911"/>
      <c r="B19" s="929" t="s">
        <v>84</v>
      </c>
      <c r="C19" s="913">
        <f t="shared" si="2"/>
        <v>1728</v>
      </c>
      <c r="D19" s="925">
        <f t="shared" si="2"/>
        <v>1105</v>
      </c>
      <c r="E19" s="915">
        <f t="shared" si="2"/>
        <v>623</v>
      </c>
      <c r="F19" s="930">
        <f aca="true" t="shared" si="6" ref="F19:Q19">F9-F14</f>
        <v>1698</v>
      </c>
      <c r="G19" s="925">
        <f t="shared" si="6"/>
        <v>975</v>
      </c>
      <c r="H19" s="915">
        <f t="shared" si="6"/>
        <v>723</v>
      </c>
      <c r="I19" s="987">
        <f t="shared" si="6"/>
        <v>2383</v>
      </c>
      <c r="J19" s="925">
        <f t="shared" si="6"/>
        <v>1506</v>
      </c>
      <c r="K19" s="915">
        <f t="shared" si="6"/>
        <v>877</v>
      </c>
      <c r="L19" s="930">
        <f t="shared" si="6"/>
        <v>1994</v>
      </c>
      <c r="M19" s="925">
        <f t="shared" si="6"/>
        <v>1165</v>
      </c>
      <c r="N19" s="915">
        <f t="shared" si="6"/>
        <v>829</v>
      </c>
      <c r="O19" s="930">
        <f t="shared" si="6"/>
        <v>1899</v>
      </c>
      <c r="P19" s="925">
        <f t="shared" si="6"/>
        <v>1150</v>
      </c>
      <c r="Q19" s="915">
        <f t="shared" si="6"/>
        <v>749</v>
      </c>
      <c r="R19" s="930">
        <f t="shared" si="4"/>
        <v>1873</v>
      </c>
      <c r="S19" s="925">
        <f t="shared" si="4"/>
        <v>1154</v>
      </c>
      <c r="T19" s="915">
        <f t="shared" si="4"/>
        <v>719</v>
      </c>
      <c r="U19" s="930">
        <f t="shared" si="5"/>
        <v>1824</v>
      </c>
      <c r="V19" s="925">
        <f t="shared" si="5"/>
        <v>1177</v>
      </c>
      <c r="W19" s="915">
        <f t="shared" si="5"/>
        <v>647</v>
      </c>
    </row>
    <row r="20" spans="1:23" s="910" customFormat="1" ht="45" customHeight="1">
      <c r="A20" s="911"/>
      <c r="B20" s="929" t="s">
        <v>85</v>
      </c>
      <c r="C20" s="916">
        <f t="shared" si="2"/>
        <v>1246</v>
      </c>
      <c r="D20" s="926">
        <f t="shared" si="2"/>
        <v>802</v>
      </c>
      <c r="E20" s="917">
        <f t="shared" si="2"/>
        <v>444</v>
      </c>
      <c r="F20" s="931">
        <f aca="true" t="shared" si="7" ref="F20:Q20">F10-F15</f>
        <v>1417</v>
      </c>
      <c r="G20" s="926">
        <f t="shared" si="7"/>
        <v>877</v>
      </c>
      <c r="H20" s="917">
        <f t="shared" si="7"/>
        <v>540</v>
      </c>
      <c r="I20" s="988">
        <f t="shared" si="7"/>
        <v>1507</v>
      </c>
      <c r="J20" s="926">
        <f t="shared" si="7"/>
        <v>861</v>
      </c>
      <c r="K20" s="917">
        <f t="shared" si="7"/>
        <v>646</v>
      </c>
      <c r="L20" s="931">
        <f t="shared" si="7"/>
        <v>1940</v>
      </c>
      <c r="M20" s="926">
        <f t="shared" si="7"/>
        <v>1249</v>
      </c>
      <c r="N20" s="917">
        <f t="shared" si="7"/>
        <v>691</v>
      </c>
      <c r="O20" s="931">
        <f t="shared" si="7"/>
        <v>1656</v>
      </c>
      <c r="P20" s="926">
        <f t="shared" si="7"/>
        <v>981</v>
      </c>
      <c r="Q20" s="917">
        <f t="shared" si="7"/>
        <v>675</v>
      </c>
      <c r="R20" s="931">
        <f t="shared" si="4"/>
        <v>1659</v>
      </c>
      <c r="S20" s="926">
        <f t="shared" si="4"/>
        <v>1028</v>
      </c>
      <c r="T20" s="917">
        <f t="shared" si="4"/>
        <v>631</v>
      </c>
      <c r="U20" s="931">
        <f t="shared" si="5"/>
        <v>1579</v>
      </c>
      <c r="V20" s="926">
        <f t="shared" si="5"/>
        <v>983</v>
      </c>
      <c r="W20" s="917">
        <f t="shared" si="5"/>
        <v>596</v>
      </c>
    </row>
    <row r="21" spans="1:23" s="910" customFormat="1" ht="45" customHeight="1">
      <c r="A21" s="897"/>
      <c r="B21" s="919" t="s">
        <v>5</v>
      </c>
      <c r="C21" s="932">
        <f t="shared" si="2"/>
        <v>5085</v>
      </c>
      <c r="D21" s="933">
        <f t="shared" si="2"/>
        <v>3149</v>
      </c>
      <c r="E21" s="934">
        <f t="shared" si="2"/>
        <v>1936</v>
      </c>
      <c r="F21" s="932">
        <f aca="true" t="shared" si="8" ref="F21:Q21">F11-F16</f>
        <v>5746</v>
      </c>
      <c r="G21" s="933">
        <f t="shared" si="8"/>
        <v>3514</v>
      </c>
      <c r="H21" s="934">
        <f t="shared" si="8"/>
        <v>2232</v>
      </c>
      <c r="I21" s="989">
        <f t="shared" si="8"/>
        <v>6237</v>
      </c>
      <c r="J21" s="933">
        <f t="shared" si="8"/>
        <v>3719</v>
      </c>
      <c r="K21" s="934">
        <f t="shared" si="8"/>
        <v>2518</v>
      </c>
      <c r="L21" s="932">
        <f t="shared" si="8"/>
        <v>6080</v>
      </c>
      <c r="M21" s="933">
        <f t="shared" si="8"/>
        <v>3692</v>
      </c>
      <c r="N21" s="934">
        <f t="shared" si="8"/>
        <v>2388</v>
      </c>
      <c r="O21" s="932">
        <f t="shared" si="8"/>
        <v>5633</v>
      </c>
      <c r="P21" s="933">
        <f t="shared" si="8"/>
        <v>3401</v>
      </c>
      <c r="Q21" s="934">
        <f t="shared" si="8"/>
        <v>2232</v>
      </c>
      <c r="R21" s="932">
        <f t="shared" si="4"/>
        <v>5622</v>
      </c>
      <c r="S21" s="933">
        <f t="shared" si="4"/>
        <v>3509</v>
      </c>
      <c r="T21" s="934">
        <f t="shared" si="4"/>
        <v>2113</v>
      </c>
      <c r="U21" s="932">
        <f t="shared" si="5"/>
        <v>5316</v>
      </c>
      <c r="V21" s="933">
        <f t="shared" si="5"/>
        <v>3389</v>
      </c>
      <c r="W21" s="934">
        <f t="shared" si="5"/>
        <v>1927</v>
      </c>
    </row>
    <row r="22" ht="18.75" customHeight="1">
      <c r="B22" s="935"/>
    </row>
  </sheetData>
  <sheetProtection/>
  <mergeCells count="9">
    <mergeCell ref="A12:W12"/>
    <mergeCell ref="A17:W17"/>
    <mergeCell ref="L5:N5"/>
    <mergeCell ref="U5:W5"/>
    <mergeCell ref="O5:Q5"/>
    <mergeCell ref="R5:T5"/>
    <mergeCell ref="A7:W7"/>
    <mergeCell ref="A5:B5"/>
    <mergeCell ref="A6:B6"/>
  </mergeCells>
  <printOptions/>
  <pageMargins left="0.45" right="0.65" top="0.75" bottom="0" header="0.5" footer="0"/>
  <pageSetup horizontalDpi="600" verticalDpi="600" orientation="portrait" paperSize="9" scale="99" r:id="rId1"/>
  <headerFooter alignWithMargins="0">
    <oddHeader>&amp;C&amp;"Times New Roman,Regular"&amp;11- 28 -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5" sqref="C25"/>
    </sheetView>
  </sheetViews>
  <sheetFormatPr defaultColWidth="9.140625" defaultRowHeight="12.75"/>
  <cols>
    <col min="1" max="1" width="2.00390625" style="641" customWidth="1"/>
    <col min="2" max="2" width="12.140625" style="641" customWidth="1"/>
    <col min="3" max="3" width="21.00390625" style="641" customWidth="1"/>
    <col min="4" max="4" width="10.57421875" style="641" customWidth="1"/>
    <col min="5" max="6" width="10.140625" style="641" customWidth="1"/>
    <col min="7" max="7" width="10.57421875" style="641" customWidth="1"/>
    <col min="8" max="9" width="10.140625" style="641" customWidth="1"/>
    <col min="10" max="10" width="10.57421875" style="641" customWidth="1"/>
    <col min="11" max="12" width="10.421875" style="641" customWidth="1"/>
    <col min="13" max="14" width="5.00390625" style="641" customWidth="1"/>
    <col min="15" max="16384" width="9.140625" style="641" customWidth="1"/>
  </cols>
  <sheetData>
    <row r="1" spans="1:5" ht="19.5" customHeight="1">
      <c r="A1" s="1075" t="s">
        <v>348</v>
      </c>
      <c r="D1" s="642"/>
      <c r="E1" s="642"/>
    </row>
    <row r="2" spans="4:5" ht="12.75" customHeight="1">
      <c r="D2" s="642"/>
      <c r="E2" s="642"/>
    </row>
    <row r="3" spans="1:12" ht="15.75" customHeight="1">
      <c r="A3" s="1545" t="s">
        <v>15</v>
      </c>
      <c r="B3" s="1546"/>
      <c r="C3" s="1547"/>
      <c r="D3" s="643" t="s">
        <v>187</v>
      </c>
      <c r="E3" s="643"/>
      <c r="F3" s="643"/>
      <c r="G3" s="644" t="s">
        <v>188</v>
      </c>
      <c r="H3" s="645"/>
      <c r="I3" s="646"/>
      <c r="J3" s="643" t="s">
        <v>189</v>
      </c>
      <c r="K3" s="645"/>
      <c r="L3" s="647"/>
    </row>
    <row r="4" spans="1:12" ht="15.75" customHeight="1">
      <c r="A4" s="1548"/>
      <c r="B4" s="1549"/>
      <c r="C4" s="1550"/>
      <c r="D4" s="648" t="s">
        <v>5</v>
      </c>
      <c r="E4" s="649" t="s">
        <v>39</v>
      </c>
      <c r="F4" s="648" t="s">
        <v>40</v>
      </c>
      <c r="G4" s="650" t="s">
        <v>5</v>
      </c>
      <c r="H4" s="649" t="s">
        <v>39</v>
      </c>
      <c r="I4" s="648" t="s">
        <v>40</v>
      </c>
      <c r="J4" s="650" t="s">
        <v>5</v>
      </c>
      <c r="K4" s="649" t="s">
        <v>39</v>
      </c>
      <c r="L4" s="651" t="s">
        <v>40</v>
      </c>
    </row>
    <row r="5" spans="1:12" ht="20.25" customHeight="1">
      <c r="A5" s="652" t="s">
        <v>190</v>
      </c>
      <c r="B5" s="653"/>
      <c r="C5" s="654"/>
      <c r="D5" s="655">
        <f aca="true" t="shared" si="0" ref="D5:D16">E5+F5</f>
        <v>1043</v>
      </c>
      <c r="E5" s="656">
        <v>434</v>
      </c>
      <c r="F5" s="656">
        <v>609</v>
      </c>
      <c r="G5" s="655">
        <f>SUM(H5:I5)</f>
        <v>69</v>
      </c>
      <c r="H5" s="657">
        <v>27</v>
      </c>
      <c r="I5" s="663">
        <v>42</v>
      </c>
      <c r="J5" s="655">
        <f aca="true" t="shared" si="1" ref="J5:J13">SUM(K5:L5)</f>
        <v>1112</v>
      </c>
      <c r="K5" s="657">
        <f>E5+H5</f>
        <v>461</v>
      </c>
      <c r="L5" s="664">
        <f>F5+I5</f>
        <v>651</v>
      </c>
    </row>
    <row r="6" spans="1:12" ht="20.25" customHeight="1">
      <c r="A6" s="661" t="s">
        <v>175</v>
      </c>
      <c r="B6" s="662"/>
      <c r="C6" s="654"/>
      <c r="D6" s="655">
        <f t="shared" si="0"/>
        <v>629</v>
      </c>
      <c r="E6" s="656">
        <v>265</v>
      </c>
      <c r="F6" s="656">
        <v>364</v>
      </c>
      <c r="G6" s="655">
        <f aca="true" t="shared" si="2" ref="G6:G13">SUM(H6:I6)</f>
        <v>70</v>
      </c>
      <c r="H6" s="656">
        <v>21</v>
      </c>
      <c r="I6" s="663">
        <v>49</v>
      </c>
      <c r="J6" s="655">
        <f t="shared" si="1"/>
        <v>699</v>
      </c>
      <c r="K6" s="656">
        <f aca="true" t="shared" si="3" ref="K6:K15">E6+H6</f>
        <v>286</v>
      </c>
      <c r="L6" s="664">
        <f aca="true" t="shared" si="4" ref="L6:L13">F6+I6</f>
        <v>413</v>
      </c>
    </row>
    <row r="7" spans="1:12" ht="20.25" customHeight="1">
      <c r="A7" s="661" t="s">
        <v>176</v>
      </c>
      <c r="B7" s="662"/>
      <c r="C7" s="654"/>
      <c r="D7" s="655">
        <f t="shared" si="0"/>
        <v>620</v>
      </c>
      <c r="E7" s="656">
        <v>287</v>
      </c>
      <c r="F7" s="663">
        <v>333</v>
      </c>
      <c r="G7" s="655">
        <f t="shared" si="2"/>
        <v>71</v>
      </c>
      <c r="H7" s="656">
        <v>31</v>
      </c>
      <c r="I7" s="663">
        <v>40</v>
      </c>
      <c r="J7" s="655">
        <f t="shared" si="1"/>
        <v>691</v>
      </c>
      <c r="K7" s="656">
        <f t="shared" si="3"/>
        <v>318</v>
      </c>
      <c r="L7" s="664">
        <f t="shared" si="4"/>
        <v>373</v>
      </c>
    </row>
    <row r="8" spans="1:12" ht="20.25" customHeight="1">
      <c r="A8" s="661" t="s">
        <v>177</v>
      </c>
      <c r="B8" s="662"/>
      <c r="C8" s="654"/>
      <c r="D8" s="655">
        <f t="shared" si="0"/>
        <v>834</v>
      </c>
      <c r="E8" s="656">
        <v>394</v>
      </c>
      <c r="F8" s="663">
        <v>440</v>
      </c>
      <c r="G8" s="655">
        <f t="shared" si="2"/>
        <v>58</v>
      </c>
      <c r="H8" s="656">
        <v>25</v>
      </c>
      <c r="I8" s="663">
        <v>33</v>
      </c>
      <c r="J8" s="655">
        <f t="shared" si="1"/>
        <v>892</v>
      </c>
      <c r="K8" s="656">
        <f t="shared" si="3"/>
        <v>419</v>
      </c>
      <c r="L8" s="664">
        <f t="shared" si="4"/>
        <v>473</v>
      </c>
    </row>
    <row r="9" spans="1:12" ht="20.25" customHeight="1">
      <c r="A9" s="661" t="s">
        <v>178</v>
      </c>
      <c r="B9" s="662"/>
      <c r="C9" s="654"/>
      <c r="D9" s="655">
        <f t="shared" si="0"/>
        <v>486</v>
      </c>
      <c r="E9" s="656">
        <v>194</v>
      </c>
      <c r="F9" s="663">
        <v>292</v>
      </c>
      <c r="G9" s="655">
        <f t="shared" si="2"/>
        <v>48</v>
      </c>
      <c r="H9" s="656">
        <v>15</v>
      </c>
      <c r="I9" s="663">
        <v>33</v>
      </c>
      <c r="J9" s="655">
        <f t="shared" si="1"/>
        <v>534</v>
      </c>
      <c r="K9" s="656">
        <f t="shared" si="3"/>
        <v>209</v>
      </c>
      <c r="L9" s="664">
        <f t="shared" si="4"/>
        <v>325</v>
      </c>
    </row>
    <row r="10" spans="1:12" ht="20.25" customHeight="1">
      <c r="A10" s="661" t="s">
        <v>179</v>
      </c>
      <c r="B10" s="662"/>
      <c r="C10" s="654"/>
      <c r="D10" s="655">
        <f t="shared" si="0"/>
        <v>320</v>
      </c>
      <c r="E10" s="656">
        <v>149</v>
      </c>
      <c r="F10" s="663">
        <v>171</v>
      </c>
      <c r="G10" s="655">
        <f t="shared" si="2"/>
        <v>42</v>
      </c>
      <c r="H10" s="656">
        <v>17</v>
      </c>
      <c r="I10" s="663">
        <v>25</v>
      </c>
      <c r="J10" s="655">
        <f t="shared" si="1"/>
        <v>362</v>
      </c>
      <c r="K10" s="656">
        <f t="shared" si="3"/>
        <v>166</v>
      </c>
      <c r="L10" s="664">
        <f t="shared" si="4"/>
        <v>196</v>
      </c>
    </row>
    <row r="11" spans="1:12" ht="20.25" customHeight="1">
      <c r="A11" s="661" t="s">
        <v>191</v>
      </c>
      <c r="B11" s="662"/>
      <c r="C11" s="654"/>
      <c r="D11" s="655">
        <f t="shared" si="0"/>
        <v>2904</v>
      </c>
      <c r="E11" s="656">
        <v>1201</v>
      </c>
      <c r="F11" s="663">
        <v>1703</v>
      </c>
      <c r="G11" s="655">
        <f t="shared" si="2"/>
        <v>167</v>
      </c>
      <c r="H11" s="656">
        <v>53</v>
      </c>
      <c r="I11" s="663">
        <v>114</v>
      </c>
      <c r="J11" s="655">
        <f t="shared" si="1"/>
        <v>3071</v>
      </c>
      <c r="K11" s="656">
        <f t="shared" si="3"/>
        <v>1254</v>
      </c>
      <c r="L11" s="664">
        <f t="shared" si="4"/>
        <v>1817</v>
      </c>
    </row>
    <row r="12" spans="1:12" ht="20.25" customHeight="1">
      <c r="A12" s="661" t="s">
        <v>181</v>
      </c>
      <c r="B12" s="662"/>
      <c r="C12" s="654"/>
      <c r="D12" s="655">
        <f t="shared" si="0"/>
        <v>489</v>
      </c>
      <c r="E12" s="656">
        <v>168</v>
      </c>
      <c r="F12" s="663">
        <v>321</v>
      </c>
      <c r="G12" s="665">
        <f t="shared" si="2"/>
        <v>47</v>
      </c>
      <c r="H12" s="656">
        <v>15</v>
      </c>
      <c r="I12" s="663">
        <v>32</v>
      </c>
      <c r="J12" s="655">
        <f t="shared" si="1"/>
        <v>536</v>
      </c>
      <c r="K12" s="656">
        <f t="shared" si="3"/>
        <v>183</v>
      </c>
      <c r="L12" s="664">
        <f t="shared" si="4"/>
        <v>353</v>
      </c>
    </row>
    <row r="13" spans="1:12" ht="20.25" customHeight="1">
      <c r="A13" s="661" t="s">
        <v>182</v>
      </c>
      <c r="B13" s="662"/>
      <c r="C13" s="666"/>
      <c r="D13" s="667">
        <f t="shared" si="0"/>
        <v>165</v>
      </c>
      <c r="E13" s="668">
        <v>82</v>
      </c>
      <c r="F13" s="669">
        <v>83</v>
      </c>
      <c r="G13" s="670">
        <f t="shared" si="2"/>
        <v>22</v>
      </c>
      <c r="H13" s="668">
        <v>9</v>
      </c>
      <c r="I13" s="669">
        <v>13</v>
      </c>
      <c r="J13" s="667">
        <f t="shared" si="1"/>
        <v>187</v>
      </c>
      <c r="K13" s="668">
        <f t="shared" si="3"/>
        <v>91</v>
      </c>
      <c r="L13" s="671">
        <f t="shared" si="4"/>
        <v>96</v>
      </c>
    </row>
    <row r="14" spans="1:14" ht="20.25" customHeight="1">
      <c r="A14" s="672" t="s">
        <v>2</v>
      </c>
      <c r="B14" s="653"/>
      <c r="C14" s="654"/>
      <c r="D14" s="655">
        <f t="shared" si="0"/>
        <v>7490</v>
      </c>
      <c r="E14" s="656">
        <f aca="true" t="shared" si="5" ref="E14:L14">SUM(E5:E13)</f>
        <v>3174</v>
      </c>
      <c r="F14" s="663">
        <f t="shared" si="5"/>
        <v>4316</v>
      </c>
      <c r="G14" s="655">
        <f t="shared" si="5"/>
        <v>594</v>
      </c>
      <c r="H14" s="657">
        <f t="shared" si="5"/>
        <v>213</v>
      </c>
      <c r="I14" s="658">
        <f>SUM(I5:I13)</f>
        <v>381</v>
      </c>
      <c r="J14" s="659">
        <f t="shared" si="5"/>
        <v>8084</v>
      </c>
      <c r="K14" s="657">
        <f t="shared" si="5"/>
        <v>3387</v>
      </c>
      <c r="L14" s="660">
        <f t="shared" si="5"/>
        <v>4697</v>
      </c>
      <c r="N14" s="673"/>
    </row>
    <row r="15" spans="1:12" ht="20.25" customHeight="1">
      <c r="A15" s="674" t="s">
        <v>4</v>
      </c>
      <c r="B15" s="662"/>
      <c r="C15" s="654"/>
      <c r="D15" s="655">
        <f t="shared" si="0"/>
        <v>205</v>
      </c>
      <c r="E15" s="656">
        <v>95</v>
      </c>
      <c r="F15" s="663">
        <v>110</v>
      </c>
      <c r="G15" s="667">
        <f>SUM(H15:I15)</f>
        <v>34</v>
      </c>
      <c r="H15" s="668">
        <v>12</v>
      </c>
      <c r="I15" s="669">
        <v>22</v>
      </c>
      <c r="J15" s="667">
        <f>SUM(K15:L15)</f>
        <v>239</v>
      </c>
      <c r="K15" s="668">
        <f t="shared" si="3"/>
        <v>107</v>
      </c>
      <c r="L15" s="671">
        <f>F15+I15</f>
        <v>132</v>
      </c>
    </row>
    <row r="16" spans="1:12" ht="20.25" customHeight="1">
      <c r="A16" s="675" t="s">
        <v>192</v>
      </c>
      <c r="B16" s="676"/>
      <c r="C16" s="677"/>
      <c r="D16" s="678">
        <f t="shared" si="0"/>
        <v>7695</v>
      </c>
      <c r="E16" s="679">
        <f>E15+E14</f>
        <v>3269</v>
      </c>
      <c r="F16" s="680">
        <f>F15+F14</f>
        <v>4426</v>
      </c>
      <c r="G16" s="678">
        <f>SUM(H16:I16)</f>
        <v>628</v>
      </c>
      <c r="H16" s="679">
        <f>SUM(H14:H15)</f>
        <v>225</v>
      </c>
      <c r="I16" s="680">
        <f>SUM(I14:I15)</f>
        <v>403</v>
      </c>
      <c r="J16" s="678">
        <f>J15+J14</f>
        <v>8323</v>
      </c>
      <c r="K16" s="679">
        <f>SUM(K14:K15)</f>
        <v>3494</v>
      </c>
      <c r="L16" s="681">
        <f>SUM(L14:L15)</f>
        <v>4829</v>
      </c>
    </row>
    <row r="17" spans="1:12" ht="12" customHeight="1">
      <c r="A17" s="662"/>
      <c r="B17" s="662"/>
      <c r="C17" s="662"/>
      <c r="D17" s="682"/>
      <c r="E17" s="682"/>
      <c r="F17" s="682"/>
      <c r="G17" s="682"/>
      <c r="H17" s="682"/>
      <c r="I17" s="682"/>
      <c r="J17" s="682"/>
      <c r="K17" s="682"/>
      <c r="L17" s="682"/>
    </row>
    <row r="18" spans="1:12" ht="19.5" customHeight="1">
      <c r="A18" s="1075" t="s">
        <v>349</v>
      </c>
      <c r="B18" s="683"/>
      <c r="C18" s="683"/>
      <c r="D18" s="684"/>
      <c r="E18" s="684"/>
      <c r="F18" s="685"/>
      <c r="G18" s="685"/>
      <c r="H18" s="685"/>
      <c r="I18" s="685"/>
      <c r="J18" s="685"/>
      <c r="K18" s="685"/>
      <c r="L18" s="685"/>
    </row>
    <row r="19" spans="1:12" ht="9.75" customHeight="1">
      <c r="A19" s="683"/>
      <c r="B19" s="683"/>
      <c r="C19" s="683"/>
      <c r="D19" s="684"/>
      <c r="E19" s="684"/>
      <c r="F19" s="685"/>
      <c r="G19" s="685"/>
      <c r="H19" s="685"/>
      <c r="I19" s="685"/>
      <c r="J19" s="685"/>
      <c r="K19" s="685"/>
      <c r="L19" s="685"/>
    </row>
    <row r="20" spans="1:12" ht="16.5" customHeight="1">
      <c r="A20" s="1545" t="s">
        <v>31</v>
      </c>
      <c r="B20" s="1546"/>
      <c r="C20" s="1547"/>
      <c r="D20" s="1542" t="s">
        <v>187</v>
      </c>
      <c r="E20" s="1543"/>
      <c r="F20" s="1544"/>
      <c r="G20" s="1542" t="s">
        <v>188</v>
      </c>
      <c r="H20" s="1543"/>
      <c r="I20" s="1544"/>
      <c r="J20" s="1542" t="s">
        <v>189</v>
      </c>
      <c r="K20" s="1543"/>
      <c r="L20" s="1544"/>
    </row>
    <row r="21" spans="1:12" ht="16.5" customHeight="1">
      <c r="A21" s="1548"/>
      <c r="B21" s="1549"/>
      <c r="C21" s="1550"/>
      <c r="D21" s="687" t="s">
        <v>5</v>
      </c>
      <c r="E21" s="689" t="s">
        <v>39</v>
      </c>
      <c r="F21" s="687" t="s">
        <v>40</v>
      </c>
      <c r="G21" s="686" t="s">
        <v>5</v>
      </c>
      <c r="H21" s="689" t="s">
        <v>39</v>
      </c>
      <c r="I21" s="687" t="s">
        <v>40</v>
      </c>
      <c r="J21" s="690" t="s">
        <v>5</v>
      </c>
      <c r="K21" s="689" t="s">
        <v>39</v>
      </c>
      <c r="L21" s="688" t="s">
        <v>40</v>
      </c>
    </row>
    <row r="22" spans="1:12" ht="22.5" customHeight="1">
      <c r="A22" s="661" t="s">
        <v>32</v>
      </c>
      <c r="B22" s="653"/>
      <c r="C22" s="654"/>
      <c r="D22" s="691">
        <f aca="true" t="shared" si="6" ref="D22:D27">E22+F22</f>
        <v>2335</v>
      </c>
      <c r="E22" s="691">
        <v>998</v>
      </c>
      <c r="F22" s="692">
        <v>1337</v>
      </c>
      <c r="G22" s="693">
        <f aca="true" t="shared" si="7" ref="G22:G27">SUM(H22:I22)</f>
        <v>213</v>
      </c>
      <c r="H22" s="691">
        <v>79</v>
      </c>
      <c r="I22" s="692">
        <v>134</v>
      </c>
      <c r="J22" s="693">
        <f aca="true" t="shared" si="8" ref="J22:J27">SUM(K22:L22)</f>
        <v>2548</v>
      </c>
      <c r="K22" s="691">
        <f aca="true" t="shared" si="9" ref="K22:L27">E22+H22</f>
        <v>1077</v>
      </c>
      <c r="L22" s="694">
        <f t="shared" si="9"/>
        <v>1471</v>
      </c>
    </row>
    <row r="23" spans="1:12" ht="22.5" customHeight="1">
      <c r="A23" s="661" t="s">
        <v>33</v>
      </c>
      <c r="B23" s="662"/>
      <c r="C23" s="654"/>
      <c r="D23" s="695">
        <f t="shared" si="6"/>
        <v>2039</v>
      </c>
      <c r="E23" s="695">
        <v>877</v>
      </c>
      <c r="F23" s="696">
        <v>1162</v>
      </c>
      <c r="G23" s="697">
        <f t="shared" si="7"/>
        <v>170</v>
      </c>
      <c r="H23" s="695">
        <v>67</v>
      </c>
      <c r="I23" s="696">
        <v>103</v>
      </c>
      <c r="J23" s="697">
        <f t="shared" si="8"/>
        <v>2209</v>
      </c>
      <c r="K23" s="695">
        <f t="shared" si="9"/>
        <v>944</v>
      </c>
      <c r="L23" s="698">
        <f t="shared" si="9"/>
        <v>1265</v>
      </c>
    </row>
    <row r="24" spans="1:12" ht="22.5" customHeight="1">
      <c r="A24" s="661" t="s">
        <v>34</v>
      </c>
      <c r="B24" s="662"/>
      <c r="C24" s="654"/>
      <c r="D24" s="695">
        <f t="shared" si="6"/>
        <v>1773</v>
      </c>
      <c r="E24" s="695">
        <v>753</v>
      </c>
      <c r="F24" s="696">
        <v>1020</v>
      </c>
      <c r="G24" s="697">
        <f t="shared" si="7"/>
        <v>129</v>
      </c>
      <c r="H24" s="695">
        <v>41</v>
      </c>
      <c r="I24" s="696">
        <v>88</v>
      </c>
      <c r="J24" s="697">
        <f t="shared" si="8"/>
        <v>1902</v>
      </c>
      <c r="K24" s="695">
        <f t="shared" si="9"/>
        <v>794</v>
      </c>
      <c r="L24" s="698">
        <f t="shared" si="9"/>
        <v>1108</v>
      </c>
    </row>
    <row r="25" spans="1:12" ht="22.5" customHeight="1">
      <c r="A25" s="661" t="s">
        <v>47</v>
      </c>
      <c r="B25" s="662"/>
      <c r="C25" s="654"/>
      <c r="D25" s="695">
        <f t="shared" si="6"/>
        <v>1343</v>
      </c>
      <c r="E25" s="695">
        <v>546</v>
      </c>
      <c r="F25" s="696">
        <v>797</v>
      </c>
      <c r="G25" s="697">
        <f t="shared" si="7"/>
        <v>82</v>
      </c>
      <c r="H25" s="695">
        <v>26</v>
      </c>
      <c r="I25" s="696">
        <v>56</v>
      </c>
      <c r="J25" s="697">
        <f t="shared" si="8"/>
        <v>1425</v>
      </c>
      <c r="K25" s="695">
        <f t="shared" si="9"/>
        <v>572</v>
      </c>
      <c r="L25" s="698">
        <f t="shared" si="9"/>
        <v>853</v>
      </c>
    </row>
    <row r="26" spans="1:12" ht="22.5" customHeight="1">
      <c r="A26" s="1284" t="s">
        <v>466</v>
      </c>
      <c r="B26" s="662"/>
      <c r="C26" s="654"/>
      <c r="D26" s="695">
        <f t="shared" si="6"/>
        <v>205</v>
      </c>
      <c r="E26" s="695">
        <v>95</v>
      </c>
      <c r="F26" s="696">
        <v>110</v>
      </c>
      <c r="G26" s="697">
        <f t="shared" si="7"/>
        <v>34</v>
      </c>
      <c r="H26" s="695">
        <v>12</v>
      </c>
      <c r="I26" s="699">
        <v>22</v>
      </c>
      <c r="J26" s="697">
        <f t="shared" si="8"/>
        <v>239</v>
      </c>
      <c r="K26" s="700">
        <f t="shared" si="9"/>
        <v>107</v>
      </c>
      <c r="L26" s="698">
        <f t="shared" si="9"/>
        <v>132</v>
      </c>
    </row>
    <row r="27" spans="1:12" ht="22.5" customHeight="1">
      <c r="A27" s="675" t="s">
        <v>48</v>
      </c>
      <c r="B27" s="676"/>
      <c r="C27" s="677"/>
      <c r="D27" s="701">
        <f t="shared" si="6"/>
        <v>7695</v>
      </c>
      <c r="E27" s="701">
        <f>SUM(E22:E26)</f>
        <v>3269</v>
      </c>
      <c r="F27" s="702">
        <f>SUM(F22:F26)</f>
        <v>4426</v>
      </c>
      <c r="G27" s="703">
        <f t="shared" si="7"/>
        <v>628</v>
      </c>
      <c r="H27" s="701">
        <f>SUM(H22:H26)</f>
        <v>225</v>
      </c>
      <c r="I27" s="701">
        <f>SUM(I22:I26)</f>
        <v>403</v>
      </c>
      <c r="J27" s="703">
        <f t="shared" si="8"/>
        <v>8323</v>
      </c>
      <c r="K27" s="701">
        <f t="shared" si="9"/>
        <v>3494</v>
      </c>
      <c r="L27" s="704">
        <f t="shared" si="9"/>
        <v>4829</v>
      </c>
    </row>
    <row r="28" spans="1:14" ht="17.25" customHeight="1">
      <c r="A28" s="705"/>
      <c r="B28" s="706"/>
      <c r="C28" s="707"/>
      <c r="D28" s="708"/>
      <c r="E28" s="708"/>
      <c r="F28" s="708"/>
      <c r="G28" s="642"/>
      <c r="H28" s="642"/>
      <c r="I28" s="707"/>
      <c r="J28" s="707"/>
      <c r="K28" s="707"/>
      <c r="L28" s="642"/>
      <c r="M28" s="642"/>
      <c r="N28" s="642"/>
    </row>
    <row r="29" ht="7.5" customHeight="1"/>
  </sheetData>
  <sheetProtection/>
  <mergeCells count="5">
    <mergeCell ref="J20:L20"/>
    <mergeCell ref="A3:C4"/>
    <mergeCell ref="A20:C21"/>
    <mergeCell ref="D20:F20"/>
    <mergeCell ref="G20:I20"/>
  </mergeCells>
  <printOptions/>
  <pageMargins left="0.5" right="0.3" top="0.5" bottom="0.42" header="0.5" footer="0.25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A1">
      <selection activeCell="W5" sqref="W5"/>
    </sheetView>
  </sheetViews>
  <sheetFormatPr defaultColWidth="9.140625" defaultRowHeight="12.75"/>
  <cols>
    <col min="1" max="1" width="11.7109375" style="712" customWidth="1"/>
    <col min="2" max="2" width="11.421875" style="712" customWidth="1"/>
    <col min="3" max="3" width="11.57421875" style="712" customWidth="1"/>
    <col min="4" max="8" width="9.140625" style="712" hidden="1" customWidth="1"/>
    <col min="9" max="9" width="5.140625" style="712" hidden="1" customWidth="1"/>
    <col min="10" max="15" width="11.7109375" style="712" hidden="1" customWidth="1"/>
    <col min="16" max="21" width="10.28125" style="712" hidden="1" customWidth="1"/>
    <col min="22" max="22" width="10.57421875" style="712" customWidth="1"/>
    <col min="23" max="23" width="10.00390625" style="712" customWidth="1"/>
    <col min="24" max="24" width="10.140625" style="712" customWidth="1"/>
    <col min="25" max="29" width="10.57421875" style="712" customWidth="1"/>
    <col min="30" max="30" width="9.8515625" style="712" customWidth="1"/>
    <col min="31" max="31" width="7.8515625" style="712" customWidth="1"/>
    <col min="32" max="16384" width="9.140625" style="712" customWidth="1"/>
  </cols>
  <sheetData>
    <row r="1" spans="1:31" ht="15.75">
      <c r="A1" s="1061" t="s">
        <v>350</v>
      </c>
      <c r="B1" s="1061"/>
      <c r="C1" s="1061"/>
      <c r="D1" s="1061"/>
      <c r="E1" s="1061"/>
      <c r="F1" s="1061"/>
      <c r="G1" s="1061"/>
      <c r="H1" s="1061"/>
      <c r="I1" s="1061"/>
      <c r="J1" s="1061"/>
      <c r="K1" s="1061"/>
      <c r="L1" s="1061"/>
      <c r="M1" s="1061"/>
      <c r="N1" s="1061"/>
      <c r="O1" s="1061"/>
      <c r="P1" s="1061"/>
      <c r="Q1" s="1061"/>
      <c r="R1" s="1061"/>
      <c r="S1" s="1061"/>
      <c r="T1" s="1061"/>
      <c r="U1" s="1061"/>
      <c r="V1" s="1061"/>
      <c r="W1" s="1061"/>
      <c r="X1" s="1061"/>
      <c r="Y1" s="1061"/>
      <c r="Z1" s="1061"/>
      <c r="AA1" s="1061"/>
      <c r="AB1" s="1061"/>
      <c r="AC1" s="1061"/>
      <c r="AD1" s="1061"/>
      <c r="AE1" s="1061"/>
    </row>
    <row r="2" spans="1:31" ht="15.75">
      <c r="A2" s="709"/>
      <c r="B2" s="709"/>
      <c r="C2" s="709"/>
      <c r="D2" s="710"/>
      <c r="E2" s="710"/>
      <c r="F2" s="710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11"/>
    </row>
    <row r="3" spans="1:31" ht="16.5" thickBot="1">
      <c r="A3" s="713" t="s">
        <v>193</v>
      </c>
      <c r="B3" s="709"/>
      <c r="C3" s="709"/>
      <c r="D3" s="710"/>
      <c r="E3" s="710"/>
      <c r="F3" s="710"/>
      <c r="G3" s="714"/>
      <c r="H3" s="714"/>
      <c r="I3" s="714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709"/>
      <c r="Y3" s="709"/>
      <c r="Z3" s="709"/>
      <c r="AA3" s="709"/>
      <c r="AB3" s="709"/>
      <c r="AC3" s="709"/>
      <c r="AD3" s="709"/>
      <c r="AE3" s="408"/>
    </row>
    <row r="4" spans="1:31" ht="19.5" customHeight="1">
      <c r="A4" s="1559" t="s">
        <v>420</v>
      </c>
      <c r="B4" s="1560"/>
      <c r="C4" s="1561"/>
      <c r="D4" s="1565">
        <v>2001</v>
      </c>
      <c r="E4" s="1566"/>
      <c r="F4" s="1567"/>
      <c r="G4" s="1551">
        <v>2002</v>
      </c>
      <c r="H4" s="1552"/>
      <c r="I4" s="1553"/>
      <c r="J4" s="1551">
        <v>2003</v>
      </c>
      <c r="K4" s="1552"/>
      <c r="L4" s="1553"/>
      <c r="M4" s="1551">
        <v>2004</v>
      </c>
      <c r="N4" s="1552"/>
      <c r="O4" s="1553"/>
      <c r="P4" s="1551">
        <v>2005</v>
      </c>
      <c r="Q4" s="1552"/>
      <c r="R4" s="1553"/>
      <c r="S4" s="1551">
        <v>2006</v>
      </c>
      <c r="T4" s="1552"/>
      <c r="U4" s="1553"/>
      <c r="V4" s="1551">
        <v>2007</v>
      </c>
      <c r="W4" s="1552"/>
      <c r="X4" s="1553"/>
      <c r="Y4" s="1551">
        <v>2008</v>
      </c>
      <c r="Z4" s="1552"/>
      <c r="AA4" s="1553"/>
      <c r="AB4" s="1551">
        <v>2009</v>
      </c>
      <c r="AC4" s="1552"/>
      <c r="AD4" s="1553"/>
      <c r="AE4" s="715"/>
    </row>
    <row r="5" spans="1:31" ht="30" customHeight="1">
      <c r="A5" s="1562"/>
      <c r="B5" s="1563"/>
      <c r="C5" s="1564"/>
      <c r="D5" s="716" t="s">
        <v>194</v>
      </c>
      <c r="E5" s="717" t="s">
        <v>195</v>
      </c>
      <c r="F5" s="718" t="s">
        <v>196</v>
      </c>
      <c r="G5" s="719" t="s">
        <v>194</v>
      </c>
      <c r="H5" s="720" t="s">
        <v>195</v>
      </c>
      <c r="I5" s="721" t="s">
        <v>196</v>
      </c>
      <c r="J5" s="719" t="s">
        <v>194</v>
      </c>
      <c r="K5" s="720" t="s">
        <v>195</v>
      </c>
      <c r="L5" s="721" t="s">
        <v>196</v>
      </c>
      <c r="M5" s="719" t="s">
        <v>197</v>
      </c>
      <c r="N5" s="720" t="s">
        <v>195</v>
      </c>
      <c r="O5" s="721" t="s">
        <v>196</v>
      </c>
      <c r="P5" s="1058" t="s">
        <v>125</v>
      </c>
      <c r="Q5" s="1059" t="s">
        <v>195</v>
      </c>
      <c r="R5" s="1060" t="s">
        <v>196</v>
      </c>
      <c r="S5" s="1058" t="s">
        <v>125</v>
      </c>
      <c r="T5" s="1059" t="s">
        <v>195</v>
      </c>
      <c r="U5" s="1060" t="s">
        <v>196</v>
      </c>
      <c r="V5" s="1058" t="s">
        <v>125</v>
      </c>
      <c r="W5" s="1188" t="s">
        <v>329</v>
      </c>
      <c r="X5" s="1189" t="s">
        <v>421</v>
      </c>
      <c r="Y5" s="1058" t="s">
        <v>125</v>
      </c>
      <c r="Z5" s="1190" t="s">
        <v>424</v>
      </c>
      <c r="AA5" s="1189" t="s">
        <v>421</v>
      </c>
      <c r="AB5" s="1058" t="s">
        <v>125</v>
      </c>
      <c r="AC5" s="1190" t="s">
        <v>425</v>
      </c>
      <c r="AD5" s="1189" t="s">
        <v>421</v>
      </c>
      <c r="AE5" s="715"/>
    </row>
    <row r="6" spans="1:31" ht="22.5" customHeight="1">
      <c r="A6" s="1554" t="s">
        <v>100</v>
      </c>
      <c r="B6" s="1555"/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6"/>
      <c r="AE6" s="715"/>
    </row>
    <row r="7" spans="1:31" ht="17.25" customHeight="1">
      <c r="A7" s="722"/>
      <c r="B7" s="723"/>
      <c r="C7" s="724" t="s">
        <v>5</v>
      </c>
      <c r="D7" s="725">
        <v>14248</v>
      </c>
      <c r="E7" s="726">
        <f>SUM(E8:E9)</f>
        <v>10918</v>
      </c>
      <c r="F7" s="727">
        <f>E7/D7*100</f>
        <v>76.62829870859068</v>
      </c>
      <c r="G7" s="725">
        <v>14527</v>
      </c>
      <c r="H7" s="726">
        <v>10843</v>
      </c>
      <c r="I7" s="727">
        <f>H7/G7*100</f>
        <v>74.64032491223239</v>
      </c>
      <c r="J7" s="725">
        <v>14579</v>
      </c>
      <c r="K7" s="726">
        <v>11007</v>
      </c>
      <c r="L7" s="727">
        <f aca="true" t="shared" si="0" ref="L7:L25">K7/J7*100</f>
        <v>75.499005418753</v>
      </c>
      <c r="M7" s="725">
        <f>SUM(M8:M9)</f>
        <v>14809</v>
      </c>
      <c r="N7" s="726">
        <f>SUM(N8:N9)</f>
        <v>11483</v>
      </c>
      <c r="O7" s="727">
        <f aca="true" t="shared" si="1" ref="O7:O15">N7/M7*100</f>
        <v>77.5406847187521</v>
      </c>
      <c r="P7" s="725">
        <f>SUM(P8:P9)</f>
        <v>15501</v>
      </c>
      <c r="Q7" s="726">
        <f>SUM(Q8:Q9)</f>
        <v>12149</v>
      </c>
      <c r="R7" s="727">
        <f>Q7/P7*100</f>
        <v>78.37558867169861</v>
      </c>
      <c r="S7" s="742">
        <f>SUM(S8:S9)</f>
        <v>16448</v>
      </c>
      <c r="T7" s="726">
        <f>SUM(T8:T9)</f>
        <v>12971</v>
      </c>
      <c r="U7" s="728">
        <f>T7/S7*100</f>
        <v>78.86065175097276</v>
      </c>
      <c r="V7" s="742">
        <f>SUM(V8:V9)</f>
        <v>17343</v>
      </c>
      <c r="W7" s="743">
        <f>SUM(W8:W9)</f>
        <v>13298</v>
      </c>
      <c r="X7" s="744">
        <f>W7/V7*100</f>
        <v>76.6764688923485</v>
      </c>
      <c r="Y7" s="742">
        <f>SUM(Y8:Y9)</f>
        <v>17794</v>
      </c>
      <c r="Z7" s="743">
        <f>SUM(Z8:Z9)</f>
        <v>13617</v>
      </c>
      <c r="AA7" s="744">
        <f>Z7/Y7*100</f>
        <v>76.52579521186918</v>
      </c>
      <c r="AB7" s="742">
        <f>SUM(AB8:AB9)</f>
        <v>17496</v>
      </c>
      <c r="AC7" s="743">
        <f>SUM(AC8:AC9)</f>
        <v>13585</v>
      </c>
      <c r="AD7" s="744">
        <f>AC7/AB7*100</f>
        <v>77.64631915866484</v>
      </c>
      <c r="AE7" s="715"/>
    </row>
    <row r="8" spans="1:31" ht="17.25" customHeight="1">
      <c r="A8" s="729" t="s">
        <v>198</v>
      </c>
      <c r="B8" s="730"/>
      <c r="C8" s="724" t="s">
        <v>39</v>
      </c>
      <c r="D8" s="725">
        <v>6564</v>
      </c>
      <c r="E8" s="731">
        <v>4884</v>
      </c>
      <c r="F8" s="727">
        <f>E8/D8*100</f>
        <v>74.40585009140767</v>
      </c>
      <c r="G8" s="725">
        <v>6697</v>
      </c>
      <c r="H8" s="731">
        <v>4844</v>
      </c>
      <c r="I8" s="727">
        <f aca="true" t="shared" si="2" ref="I8:I25">H8/G8*100</f>
        <v>72.33089443034194</v>
      </c>
      <c r="J8" s="725">
        <v>6765</v>
      </c>
      <c r="K8" s="731">
        <v>4936</v>
      </c>
      <c r="L8" s="727">
        <f t="shared" si="0"/>
        <v>72.96378418329638</v>
      </c>
      <c r="M8" s="725">
        <f>M18+M28</f>
        <v>6876</v>
      </c>
      <c r="N8" s="726">
        <f>N18+N28</f>
        <v>5184</v>
      </c>
      <c r="O8" s="727">
        <f t="shared" si="1"/>
        <v>75.39267015706807</v>
      </c>
      <c r="P8" s="725">
        <f>P18+P28</f>
        <v>7316</v>
      </c>
      <c r="Q8" s="726">
        <f>Q18+Q28</f>
        <v>5503</v>
      </c>
      <c r="R8" s="727">
        <f>Q8/P8*100</f>
        <v>75.21869874248223</v>
      </c>
      <c r="S8" s="725">
        <f>S18+S28</f>
        <v>7790</v>
      </c>
      <c r="T8" s="726">
        <f>T18+T28</f>
        <v>5803</v>
      </c>
      <c r="U8" s="728">
        <f>T8/S8*100</f>
        <v>74.49293966623877</v>
      </c>
      <c r="V8" s="725">
        <f>V18+V28</f>
        <v>8213</v>
      </c>
      <c r="W8" s="726">
        <f>W18+W28</f>
        <v>5889</v>
      </c>
      <c r="X8" s="745">
        <f>W8/V8*100</f>
        <v>71.70339705345185</v>
      </c>
      <c r="Y8" s="725">
        <f>Y18+Y28</f>
        <v>8262</v>
      </c>
      <c r="Z8" s="726">
        <f>Z18+Z28</f>
        <v>5908</v>
      </c>
      <c r="AA8" s="745">
        <f>Z8/Y8*100</f>
        <v>71.50810941660615</v>
      </c>
      <c r="AB8" s="725">
        <f>AB18+AB28</f>
        <v>8136</v>
      </c>
      <c r="AC8" s="726">
        <f>AC18+AC28</f>
        <v>5844</v>
      </c>
      <c r="AD8" s="745">
        <f>AC8/AB8*100</f>
        <v>71.82890855457227</v>
      </c>
      <c r="AE8" s="715"/>
    </row>
    <row r="9" spans="1:31" ht="17.25" customHeight="1">
      <c r="A9" s="732" t="s">
        <v>97</v>
      </c>
      <c r="B9" s="733"/>
      <c r="C9" s="734" t="s">
        <v>40</v>
      </c>
      <c r="D9" s="735">
        <v>7684</v>
      </c>
      <c r="E9" s="736">
        <v>6034</v>
      </c>
      <c r="F9" s="737">
        <f>E9/D9*100</f>
        <v>78.52680895366997</v>
      </c>
      <c r="G9" s="735">
        <v>7830</v>
      </c>
      <c r="H9" s="736">
        <v>5999</v>
      </c>
      <c r="I9" s="737">
        <f t="shared" si="2"/>
        <v>76.61558109833973</v>
      </c>
      <c r="J9" s="735">
        <v>7814</v>
      </c>
      <c r="K9" s="736">
        <v>6071</v>
      </c>
      <c r="L9" s="737">
        <f t="shared" si="0"/>
        <v>77.6938827745073</v>
      </c>
      <c r="M9" s="738">
        <f>M19+M29</f>
        <v>7933</v>
      </c>
      <c r="N9" s="736">
        <f>N19+N29</f>
        <v>6299</v>
      </c>
      <c r="O9" s="737">
        <f t="shared" si="1"/>
        <v>79.4024959031892</v>
      </c>
      <c r="P9" s="738">
        <f>P19+P29</f>
        <v>8185</v>
      </c>
      <c r="Q9" s="736">
        <f>Q19+Q29</f>
        <v>6646</v>
      </c>
      <c r="R9" s="737">
        <f>Q9/P9*100</f>
        <v>81.19731215638363</v>
      </c>
      <c r="S9" s="735">
        <f>S19+S29</f>
        <v>8658</v>
      </c>
      <c r="T9" s="726">
        <f>T19+T29</f>
        <v>7168</v>
      </c>
      <c r="U9" s="728">
        <f>T9/S9*100</f>
        <v>82.79048279048278</v>
      </c>
      <c r="V9" s="725">
        <f>V19+V29</f>
        <v>9130</v>
      </c>
      <c r="W9" s="726">
        <f>W19+W29</f>
        <v>7409</v>
      </c>
      <c r="X9" s="745">
        <f>W9/V9*100</f>
        <v>81.15005476451259</v>
      </c>
      <c r="Y9" s="725">
        <f>Y19+Y29</f>
        <v>9532</v>
      </c>
      <c r="Z9" s="726">
        <f>Z19+Z29</f>
        <v>7709</v>
      </c>
      <c r="AA9" s="745">
        <f>Z9/Y9*100</f>
        <v>80.87494754511121</v>
      </c>
      <c r="AB9" s="725">
        <f>AB19+AB29</f>
        <v>9360</v>
      </c>
      <c r="AC9" s="726">
        <f>AC19+AC29</f>
        <v>7741</v>
      </c>
      <c r="AD9" s="745">
        <f>AC9/AB9*100</f>
        <v>82.70299145299145</v>
      </c>
      <c r="AE9" s="715"/>
    </row>
    <row r="10" spans="1:31" ht="17.25" customHeight="1">
      <c r="A10" s="739"/>
      <c r="B10" s="740"/>
      <c r="C10" s="724" t="s">
        <v>5</v>
      </c>
      <c r="D10" s="725">
        <f>SUM(D11:D12)</f>
        <v>4215</v>
      </c>
      <c r="E10" s="731">
        <f>SUM(E11:E12)</f>
        <v>3786</v>
      </c>
      <c r="F10" s="727">
        <f aca="true" t="shared" si="3" ref="F10:F15">E10/D10*100</f>
        <v>89.8220640569395</v>
      </c>
      <c r="G10" s="725">
        <v>5631</v>
      </c>
      <c r="H10" s="731">
        <v>4666</v>
      </c>
      <c r="I10" s="727">
        <f t="shared" si="2"/>
        <v>82.86272420529214</v>
      </c>
      <c r="J10" s="725">
        <v>5683</v>
      </c>
      <c r="K10" s="731">
        <v>4691</v>
      </c>
      <c r="L10" s="727">
        <f t="shared" si="0"/>
        <v>82.54443075840226</v>
      </c>
      <c r="M10" s="741">
        <f>SUM(M11:M12)</f>
        <v>4865</v>
      </c>
      <c r="N10" s="731">
        <f>SUM(N11:N12)</f>
        <v>4259</v>
      </c>
      <c r="O10" s="727">
        <f t="shared" si="1"/>
        <v>87.5436793422405</v>
      </c>
      <c r="P10" s="741">
        <f>SUM(P11:P12)</f>
        <v>4737</v>
      </c>
      <c r="Q10" s="731">
        <f>SUM(Q11:Q12)</f>
        <v>4258</v>
      </c>
      <c r="R10" s="727">
        <f aca="true" t="shared" si="4" ref="R10:R15">Q10/P10*100</f>
        <v>89.88811484061642</v>
      </c>
      <c r="S10" s="742">
        <f>SUM(S11:S12)</f>
        <v>5111</v>
      </c>
      <c r="T10" s="743">
        <f>SUM(T11:T12)</f>
        <v>4550</v>
      </c>
      <c r="U10" s="875">
        <f aca="true" t="shared" si="5" ref="U10:U15">T10/S10*100</f>
        <v>89.02367442770495</v>
      </c>
      <c r="V10" s="742">
        <f>SUM(V11:V12)</f>
        <v>6804</v>
      </c>
      <c r="W10" s="743">
        <f>SUM(W11:W12)</f>
        <v>5680</v>
      </c>
      <c r="X10" s="744">
        <f aca="true" t="shared" si="6" ref="X10:X15">W10/V10*100</f>
        <v>83.48030570252793</v>
      </c>
      <c r="Y10" s="742">
        <f>SUM(Y11:Y12)</f>
        <v>8280</v>
      </c>
      <c r="Z10" s="743">
        <f>SUM(Z11:Z12)</f>
        <v>6871</v>
      </c>
      <c r="AA10" s="744">
        <f aca="true" t="shared" si="7" ref="AA10:AA15">Z10/Y10*100</f>
        <v>82.9830917874396</v>
      </c>
      <c r="AB10" s="742">
        <f>SUM(AB11:AB12)</f>
        <v>8356</v>
      </c>
      <c r="AC10" s="743">
        <f>SUM(AC11:AC12)</f>
        <v>7078</v>
      </c>
      <c r="AD10" s="744">
        <f aca="true" t="shared" si="8" ref="AD10:AD15">AC10/AB10*100</f>
        <v>84.70560076591671</v>
      </c>
      <c r="AE10" s="715"/>
    </row>
    <row r="11" spans="1:31" ht="17.25" customHeight="1">
      <c r="A11" s="1557" t="s">
        <v>199</v>
      </c>
      <c r="B11" s="1558"/>
      <c r="C11" s="724" t="s">
        <v>39</v>
      </c>
      <c r="D11" s="725">
        <v>2279</v>
      </c>
      <c r="E11" s="731">
        <v>1986</v>
      </c>
      <c r="F11" s="727">
        <f t="shared" si="3"/>
        <v>87.1434839842036</v>
      </c>
      <c r="G11" s="725">
        <v>3013</v>
      </c>
      <c r="H11" s="731">
        <v>2373</v>
      </c>
      <c r="I11" s="727">
        <f t="shared" si="2"/>
        <v>78.75871224692997</v>
      </c>
      <c r="J11" s="725">
        <v>3049</v>
      </c>
      <c r="K11" s="731">
        <v>2343</v>
      </c>
      <c r="L11" s="727">
        <f t="shared" si="0"/>
        <v>76.84486716956378</v>
      </c>
      <c r="M11" s="741">
        <v>2504</v>
      </c>
      <c r="N11" s="731">
        <v>2092</v>
      </c>
      <c r="O11" s="727">
        <f t="shared" si="1"/>
        <v>83.54632587859425</v>
      </c>
      <c r="P11" s="741">
        <v>2381</v>
      </c>
      <c r="Q11" s="731">
        <v>2065</v>
      </c>
      <c r="R11" s="727">
        <f t="shared" si="4"/>
        <v>86.72826543469131</v>
      </c>
      <c r="S11" s="725">
        <v>2596</v>
      </c>
      <c r="T11" s="726">
        <v>2172</v>
      </c>
      <c r="U11" s="728">
        <f t="shared" si="5"/>
        <v>83.66718027734977</v>
      </c>
      <c r="V11" s="725">
        <v>3336</v>
      </c>
      <c r="W11" s="726">
        <v>2597</v>
      </c>
      <c r="X11" s="745">
        <f t="shared" si="6"/>
        <v>77.84772182254197</v>
      </c>
      <c r="Y11" s="725">
        <v>3919</v>
      </c>
      <c r="Z11" s="726">
        <v>3042</v>
      </c>
      <c r="AA11" s="745">
        <f t="shared" si="7"/>
        <v>77.6218423067109</v>
      </c>
      <c r="AB11" s="725">
        <v>4043</v>
      </c>
      <c r="AC11" s="726">
        <v>3187</v>
      </c>
      <c r="AD11" s="745">
        <f t="shared" si="8"/>
        <v>78.82760326490231</v>
      </c>
      <c r="AE11" s="715"/>
    </row>
    <row r="12" spans="1:31" ht="17.25" customHeight="1">
      <c r="A12" s="746"/>
      <c r="B12" s="747" t="s">
        <v>97</v>
      </c>
      <c r="C12" s="734" t="s">
        <v>40</v>
      </c>
      <c r="D12" s="735">
        <v>1936</v>
      </c>
      <c r="E12" s="736">
        <v>1800</v>
      </c>
      <c r="F12" s="737">
        <f t="shared" si="3"/>
        <v>92.97520661157024</v>
      </c>
      <c r="G12" s="735">
        <v>2618</v>
      </c>
      <c r="H12" s="736">
        <v>2293</v>
      </c>
      <c r="I12" s="737">
        <f t="shared" si="2"/>
        <v>87.5859434682964</v>
      </c>
      <c r="J12" s="735">
        <v>2634</v>
      </c>
      <c r="K12" s="736">
        <v>2348</v>
      </c>
      <c r="L12" s="737">
        <f t="shared" si="0"/>
        <v>89.14198936977981</v>
      </c>
      <c r="M12" s="738">
        <v>2361</v>
      </c>
      <c r="N12" s="736">
        <v>2167</v>
      </c>
      <c r="O12" s="737">
        <f t="shared" si="1"/>
        <v>91.78314273612877</v>
      </c>
      <c r="P12" s="738">
        <v>2356</v>
      </c>
      <c r="Q12" s="736">
        <v>2193</v>
      </c>
      <c r="R12" s="737">
        <f t="shared" si="4"/>
        <v>93.08149405772495</v>
      </c>
      <c r="S12" s="735">
        <v>2515</v>
      </c>
      <c r="T12" s="748">
        <v>2378</v>
      </c>
      <c r="U12" s="876">
        <f t="shared" si="5"/>
        <v>94.55268389662028</v>
      </c>
      <c r="V12" s="735">
        <v>3468</v>
      </c>
      <c r="W12" s="748">
        <v>3083</v>
      </c>
      <c r="X12" s="749">
        <f t="shared" si="6"/>
        <v>88.89850057670127</v>
      </c>
      <c r="Y12" s="735">
        <v>4361</v>
      </c>
      <c r="Z12" s="748">
        <v>3829</v>
      </c>
      <c r="AA12" s="749">
        <f t="shared" si="7"/>
        <v>87.80096308186197</v>
      </c>
      <c r="AB12" s="735">
        <v>4313</v>
      </c>
      <c r="AC12" s="748">
        <v>3891</v>
      </c>
      <c r="AD12" s="749">
        <f t="shared" si="8"/>
        <v>90.21562717366103</v>
      </c>
      <c r="AE12" s="715"/>
    </row>
    <row r="13" spans="1:31" ht="17.25" customHeight="1">
      <c r="A13" s="750"/>
      <c r="B13" s="751"/>
      <c r="C13" s="724" t="s">
        <v>5</v>
      </c>
      <c r="D13" s="752">
        <f>D7-D10</f>
        <v>10033</v>
      </c>
      <c r="E13" s="753">
        <f>E7-E10</f>
        <v>7132</v>
      </c>
      <c r="F13" s="727">
        <f t="shared" si="3"/>
        <v>71.08541812020333</v>
      </c>
      <c r="G13" s="752">
        <f>G7-G10</f>
        <v>8896</v>
      </c>
      <c r="H13" s="753">
        <f>H7-H10</f>
        <v>6177</v>
      </c>
      <c r="I13" s="727">
        <f t="shared" si="2"/>
        <v>69.43570143884892</v>
      </c>
      <c r="J13" s="752">
        <f>J7-J10</f>
        <v>8896</v>
      </c>
      <c r="K13" s="753">
        <f>K7-K10</f>
        <v>6316</v>
      </c>
      <c r="L13" s="727">
        <f t="shared" si="0"/>
        <v>70.99820143884892</v>
      </c>
      <c r="M13" s="752">
        <f>M7-M10</f>
        <v>9944</v>
      </c>
      <c r="N13" s="753">
        <f>N7-N10</f>
        <v>7224</v>
      </c>
      <c r="O13" s="727">
        <f t="shared" si="1"/>
        <v>72.64682220434433</v>
      </c>
      <c r="P13" s="752">
        <f>P7-P10</f>
        <v>10764</v>
      </c>
      <c r="Q13" s="753">
        <f>Q7-Q10</f>
        <v>7891</v>
      </c>
      <c r="R13" s="727">
        <f t="shared" si="4"/>
        <v>73.30917874396135</v>
      </c>
      <c r="S13" s="742">
        <f>S7-S10</f>
        <v>11337</v>
      </c>
      <c r="T13" s="743">
        <f>T7-T10</f>
        <v>8421</v>
      </c>
      <c r="U13" s="744">
        <f t="shared" si="5"/>
        <v>74.27890976448795</v>
      </c>
      <c r="V13" s="725">
        <f>V7-V10</f>
        <v>10539</v>
      </c>
      <c r="W13" s="726">
        <f>W7-W10</f>
        <v>7618</v>
      </c>
      <c r="X13" s="745">
        <f t="shared" si="6"/>
        <v>72.28389790302685</v>
      </c>
      <c r="Y13" s="725">
        <f>Y7-Y10</f>
        <v>9514</v>
      </c>
      <c r="Z13" s="726">
        <f>Z7-Z10</f>
        <v>6746</v>
      </c>
      <c r="AA13" s="745">
        <f t="shared" si="7"/>
        <v>70.90603321421064</v>
      </c>
      <c r="AB13" s="725">
        <f>AB7-AB10</f>
        <v>9140</v>
      </c>
      <c r="AC13" s="726">
        <f>AC7-AC10</f>
        <v>6507</v>
      </c>
      <c r="AD13" s="745">
        <f t="shared" si="8"/>
        <v>71.19256017505471</v>
      </c>
      <c r="AE13" s="715"/>
    </row>
    <row r="14" spans="1:31" ht="17.25" customHeight="1">
      <c r="A14" s="729" t="s">
        <v>200</v>
      </c>
      <c r="B14" s="730"/>
      <c r="C14" s="724" t="s">
        <v>39</v>
      </c>
      <c r="D14" s="754">
        <f>D8-D11</f>
        <v>4285</v>
      </c>
      <c r="E14" s="753">
        <f>E8-E11</f>
        <v>2898</v>
      </c>
      <c r="F14" s="727">
        <f t="shared" si="3"/>
        <v>67.63127187864643</v>
      </c>
      <c r="G14" s="754">
        <f>G8-G11</f>
        <v>3684</v>
      </c>
      <c r="H14" s="753">
        <f>H8-H11</f>
        <v>2471</v>
      </c>
      <c r="I14" s="727">
        <f t="shared" si="2"/>
        <v>67.07383279044517</v>
      </c>
      <c r="J14" s="754">
        <f>J8-J11</f>
        <v>3716</v>
      </c>
      <c r="K14" s="753">
        <f>K8-K11</f>
        <v>2593</v>
      </c>
      <c r="L14" s="727">
        <f t="shared" si="0"/>
        <v>69.77933261571583</v>
      </c>
      <c r="M14" s="754">
        <f>M8-M11</f>
        <v>4372</v>
      </c>
      <c r="N14" s="753">
        <f>N8-N11</f>
        <v>3092</v>
      </c>
      <c r="O14" s="727">
        <f t="shared" si="1"/>
        <v>70.7227813357731</v>
      </c>
      <c r="P14" s="754">
        <f>P8-P11</f>
        <v>4935</v>
      </c>
      <c r="Q14" s="753">
        <f>Q8-Q11</f>
        <v>3438</v>
      </c>
      <c r="R14" s="727">
        <f t="shared" si="4"/>
        <v>69.66565349544072</v>
      </c>
      <c r="S14" s="725">
        <v>5194</v>
      </c>
      <c r="T14" s="726">
        <v>3631</v>
      </c>
      <c r="U14" s="745">
        <f t="shared" si="5"/>
        <v>69.90758567577974</v>
      </c>
      <c r="V14" s="725">
        <v>4877</v>
      </c>
      <c r="W14" s="726">
        <v>3292</v>
      </c>
      <c r="X14" s="745">
        <f t="shared" si="6"/>
        <v>67.50051261021119</v>
      </c>
      <c r="Y14" s="725">
        <v>4343</v>
      </c>
      <c r="Z14" s="726">
        <v>2866</v>
      </c>
      <c r="AA14" s="745">
        <f t="shared" si="7"/>
        <v>65.99125028781948</v>
      </c>
      <c r="AB14" s="725">
        <v>4093</v>
      </c>
      <c r="AC14" s="726">
        <v>2657</v>
      </c>
      <c r="AD14" s="745">
        <f t="shared" si="8"/>
        <v>64.91570974835085</v>
      </c>
      <c r="AE14" s="715"/>
    </row>
    <row r="15" spans="1:31" ht="17.25" customHeight="1">
      <c r="A15" s="732" t="s">
        <v>97</v>
      </c>
      <c r="B15" s="733"/>
      <c r="C15" s="734" t="s">
        <v>40</v>
      </c>
      <c r="D15" s="755">
        <f>D13-D14</f>
        <v>5748</v>
      </c>
      <c r="E15" s="756">
        <f>E13-E14</f>
        <v>4234</v>
      </c>
      <c r="F15" s="737">
        <f t="shared" si="3"/>
        <v>73.66040361864997</v>
      </c>
      <c r="G15" s="755">
        <f>G13-G14</f>
        <v>5212</v>
      </c>
      <c r="H15" s="756">
        <f>H13-H14</f>
        <v>3706</v>
      </c>
      <c r="I15" s="737">
        <f t="shared" si="2"/>
        <v>71.10514198004606</v>
      </c>
      <c r="J15" s="755">
        <f>J13-J14</f>
        <v>5180</v>
      </c>
      <c r="K15" s="756">
        <f>K13-K14</f>
        <v>3723</v>
      </c>
      <c r="L15" s="737">
        <f t="shared" si="0"/>
        <v>71.87258687258688</v>
      </c>
      <c r="M15" s="755">
        <f>M13-M14</f>
        <v>5572</v>
      </c>
      <c r="N15" s="756">
        <f>N13-N14</f>
        <v>4132</v>
      </c>
      <c r="O15" s="737">
        <f t="shared" si="1"/>
        <v>74.1564967695621</v>
      </c>
      <c r="P15" s="755">
        <f>P13-P14</f>
        <v>5829</v>
      </c>
      <c r="Q15" s="756">
        <f>Q13-Q14</f>
        <v>4453</v>
      </c>
      <c r="R15" s="737">
        <f t="shared" si="4"/>
        <v>76.39389260593585</v>
      </c>
      <c r="S15" s="735">
        <v>6143</v>
      </c>
      <c r="T15" s="748">
        <v>4790</v>
      </c>
      <c r="U15" s="749">
        <f t="shared" si="5"/>
        <v>77.97493081556243</v>
      </c>
      <c r="V15" s="735">
        <v>5662</v>
      </c>
      <c r="W15" s="748">
        <v>4326</v>
      </c>
      <c r="X15" s="749">
        <f t="shared" si="6"/>
        <v>76.40409749205229</v>
      </c>
      <c r="Y15" s="735">
        <v>5171</v>
      </c>
      <c r="Z15" s="748">
        <v>3880</v>
      </c>
      <c r="AA15" s="749">
        <f t="shared" si="7"/>
        <v>75.03384258363953</v>
      </c>
      <c r="AB15" s="735">
        <v>5047</v>
      </c>
      <c r="AC15" s="748">
        <v>3850</v>
      </c>
      <c r="AD15" s="749">
        <f t="shared" si="8"/>
        <v>76.28294036061027</v>
      </c>
      <c r="AE15" s="715"/>
    </row>
    <row r="16" spans="1:31" ht="22.5" customHeight="1">
      <c r="A16" s="1568" t="s">
        <v>2</v>
      </c>
      <c r="B16" s="1569"/>
      <c r="C16" s="1569"/>
      <c r="D16" s="1569"/>
      <c r="E16" s="1569"/>
      <c r="F16" s="1569"/>
      <c r="G16" s="1569"/>
      <c r="H16" s="1569"/>
      <c r="I16" s="1569"/>
      <c r="J16" s="1569"/>
      <c r="K16" s="1569"/>
      <c r="L16" s="1569"/>
      <c r="M16" s="1569"/>
      <c r="N16" s="1569"/>
      <c r="O16" s="1569"/>
      <c r="P16" s="1569"/>
      <c r="Q16" s="1569"/>
      <c r="R16" s="1569"/>
      <c r="S16" s="1569"/>
      <c r="T16" s="1569"/>
      <c r="U16" s="1569"/>
      <c r="V16" s="1569"/>
      <c r="W16" s="1569"/>
      <c r="X16" s="1569"/>
      <c r="Y16" s="1569"/>
      <c r="Z16" s="1569"/>
      <c r="AA16" s="1569"/>
      <c r="AB16" s="1569"/>
      <c r="AC16" s="1569"/>
      <c r="AD16" s="1570"/>
      <c r="AE16" s="715"/>
    </row>
    <row r="17" spans="1:31" ht="17.25" customHeight="1">
      <c r="A17" s="757"/>
      <c r="B17" s="758"/>
      <c r="C17" s="724" t="s">
        <v>5</v>
      </c>
      <c r="D17" s="754">
        <f aca="true" t="shared" si="9" ref="D17:E19">D7-D27</f>
        <v>13607</v>
      </c>
      <c r="E17" s="753">
        <f t="shared" si="9"/>
        <v>10569</v>
      </c>
      <c r="F17" s="727">
        <f aca="true" t="shared" si="10" ref="F17:F25">E17/D17*100</f>
        <v>77.67325641214082</v>
      </c>
      <c r="G17" s="754">
        <f aca="true" t="shared" si="11" ref="G17:H19">G7-G27</f>
        <v>13997</v>
      </c>
      <c r="H17" s="753">
        <f t="shared" si="11"/>
        <v>10526</v>
      </c>
      <c r="I17" s="727">
        <f t="shared" si="2"/>
        <v>75.2018289633493</v>
      </c>
      <c r="J17" s="754">
        <v>14055</v>
      </c>
      <c r="K17" s="753">
        <v>10699</v>
      </c>
      <c r="L17" s="727">
        <f t="shared" si="0"/>
        <v>76.12237637851298</v>
      </c>
      <c r="M17" s="759">
        <f>SUM(M18:M19)</f>
        <v>14297</v>
      </c>
      <c r="N17" s="760">
        <f>SUM(N18:N19)</f>
        <v>11169</v>
      </c>
      <c r="O17" s="727">
        <f aca="true" t="shared" si="12" ref="O17:O25">N17/M17*100</f>
        <v>78.12128418549345</v>
      </c>
      <c r="P17" s="759">
        <f>SUM(P18:P19)</f>
        <v>14951</v>
      </c>
      <c r="Q17" s="760">
        <f>SUM(Q18:Q19)</f>
        <v>11814</v>
      </c>
      <c r="R17" s="727">
        <f aca="true" t="shared" si="13" ref="R17:R25">Q17/P17*100</f>
        <v>79.0181258778677</v>
      </c>
      <c r="S17" s="742">
        <f>SUM(S18:S19)</f>
        <v>15871</v>
      </c>
      <c r="T17" s="743">
        <f>SUM(T18:T19)</f>
        <v>12565</v>
      </c>
      <c r="U17" s="744">
        <f aca="true" t="shared" si="14" ref="U17:U25">T17/S17*100</f>
        <v>79.16955453342574</v>
      </c>
      <c r="V17" s="742">
        <f>SUM(V18:V19)</f>
        <v>16761</v>
      </c>
      <c r="W17" s="743">
        <f>SUM(W18:W19)</f>
        <v>12866</v>
      </c>
      <c r="X17" s="744">
        <f aca="true" t="shared" si="15" ref="X17:X25">W17/V17*100</f>
        <v>76.76152974166219</v>
      </c>
      <c r="Y17" s="726">
        <f>SUM(Y18:Y19)</f>
        <v>17227</v>
      </c>
      <c r="Z17" s="726">
        <f>SUM(Z18:Z19)</f>
        <v>13211</v>
      </c>
      <c r="AA17" s="744">
        <f aca="true" t="shared" si="16" ref="AA17:AA25">Z17/Y17*100</f>
        <v>76.68775758982991</v>
      </c>
      <c r="AB17" s="742">
        <f>SUM(AB18:AB19)</f>
        <v>16950</v>
      </c>
      <c r="AC17" s="743">
        <f>SUM(AC18:AC19)</f>
        <v>13182</v>
      </c>
      <c r="AD17" s="744">
        <f aca="true" t="shared" si="17" ref="AD17:AD25">AC17/AB17*100</f>
        <v>77.76991150442478</v>
      </c>
      <c r="AE17" s="715"/>
    </row>
    <row r="18" spans="1:31" ht="17.25" customHeight="1">
      <c r="A18" s="761" t="s">
        <v>198</v>
      </c>
      <c r="B18" s="762"/>
      <c r="C18" s="724" t="s">
        <v>39</v>
      </c>
      <c r="D18" s="754">
        <f t="shared" si="9"/>
        <v>6277</v>
      </c>
      <c r="E18" s="753">
        <f t="shared" si="9"/>
        <v>4716</v>
      </c>
      <c r="F18" s="727">
        <f t="shared" si="10"/>
        <v>75.13143221284054</v>
      </c>
      <c r="G18" s="754">
        <f t="shared" si="11"/>
        <v>6476</v>
      </c>
      <c r="H18" s="753">
        <f t="shared" si="11"/>
        <v>4712</v>
      </c>
      <c r="I18" s="727">
        <f t="shared" si="2"/>
        <v>72.7609635577517</v>
      </c>
      <c r="J18" s="754">
        <v>6548</v>
      </c>
      <c r="K18" s="753">
        <v>4812</v>
      </c>
      <c r="L18" s="727">
        <f t="shared" si="0"/>
        <v>73.48808796579108</v>
      </c>
      <c r="M18" s="759">
        <f>M21+M24</f>
        <v>6641</v>
      </c>
      <c r="N18" s="760">
        <f>N21+N24</f>
        <v>5038</v>
      </c>
      <c r="O18" s="727">
        <f t="shared" si="12"/>
        <v>75.86206896551724</v>
      </c>
      <c r="P18" s="759">
        <f>P21+P24</f>
        <v>7069</v>
      </c>
      <c r="Q18" s="760">
        <f>Q21+Q24</f>
        <v>5358</v>
      </c>
      <c r="R18" s="727">
        <f t="shared" si="13"/>
        <v>75.79572782571792</v>
      </c>
      <c r="S18" s="725">
        <f>S21+S24</f>
        <v>7531</v>
      </c>
      <c r="T18" s="726">
        <f>T21+T24</f>
        <v>5613</v>
      </c>
      <c r="U18" s="745">
        <f t="shared" si="14"/>
        <v>74.53193467003054</v>
      </c>
      <c r="V18" s="725">
        <f>V21+V24</f>
        <v>7948</v>
      </c>
      <c r="W18" s="726">
        <f>W21+W24</f>
        <v>5704</v>
      </c>
      <c r="X18" s="745">
        <f t="shared" si="15"/>
        <v>71.76648213387016</v>
      </c>
      <c r="Y18" s="726">
        <f>Y21+Y24</f>
        <v>8024</v>
      </c>
      <c r="Z18" s="726">
        <f>Z21+Z24</f>
        <v>5738</v>
      </c>
      <c r="AA18" s="745">
        <f t="shared" si="16"/>
        <v>71.51046859421734</v>
      </c>
      <c r="AB18" s="726">
        <f>AB21+AB24</f>
        <v>7910</v>
      </c>
      <c r="AC18" s="726">
        <f>AC21+AC24</f>
        <v>5685</v>
      </c>
      <c r="AD18" s="745">
        <f t="shared" si="17"/>
        <v>71.87104930467763</v>
      </c>
      <c r="AE18" s="715"/>
    </row>
    <row r="19" spans="1:31" ht="17.25" customHeight="1">
      <c r="A19" s="746"/>
      <c r="B19" s="747" t="s">
        <v>97</v>
      </c>
      <c r="C19" s="734" t="s">
        <v>40</v>
      </c>
      <c r="D19" s="755">
        <f t="shared" si="9"/>
        <v>7330</v>
      </c>
      <c r="E19" s="763">
        <f t="shared" si="9"/>
        <v>5853</v>
      </c>
      <c r="F19" s="737">
        <f t="shared" si="10"/>
        <v>79.84993178717599</v>
      </c>
      <c r="G19" s="755">
        <f t="shared" si="11"/>
        <v>7521</v>
      </c>
      <c r="H19" s="763">
        <f t="shared" si="11"/>
        <v>5814</v>
      </c>
      <c r="I19" s="737">
        <f t="shared" si="2"/>
        <v>77.30355005983247</v>
      </c>
      <c r="J19" s="755">
        <v>7507</v>
      </c>
      <c r="K19" s="763">
        <v>5887</v>
      </c>
      <c r="L19" s="737">
        <f t="shared" si="0"/>
        <v>78.42014120154522</v>
      </c>
      <c r="M19" s="764">
        <f>M22+M25</f>
        <v>7656</v>
      </c>
      <c r="N19" s="763">
        <f>N22+N25</f>
        <v>6131</v>
      </c>
      <c r="O19" s="737">
        <f t="shared" si="12"/>
        <v>80.08098223615465</v>
      </c>
      <c r="P19" s="764">
        <f>P22+P25</f>
        <v>7882</v>
      </c>
      <c r="Q19" s="763">
        <f>Q22+Q25</f>
        <v>6456</v>
      </c>
      <c r="R19" s="737">
        <f t="shared" si="13"/>
        <v>81.9081451408272</v>
      </c>
      <c r="S19" s="725">
        <f>S22+S25</f>
        <v>8340</v>
      </c>
      <c r="T19" s="726">
        <f>T22+T25</f>
        <v>6952</v>
      </c>
      <c r="U19" s="749">
        <f t="shared" si="14"/>
        <v>83.35731414868106</v>
      </c>
      <c r="V19" s="725">
        <f>V22+V25</f>
        <v>8813</v>
      </c>
      <c r="W19" s="726">
        <f>W22+W25</f>
        <v>7162</v>
      </c>
      <c r="X19" s="749">
        <f t="shared" si="15"/>
        <v>81.26631113128333</v>
      </c>
      <c r="Y19" s="726">
        <f>Y22+Y25</f>
        <v>9203</v>
      </c>
      <c r="Z19" s="726">
        <f>Z22+Z25</f>
        <v>7473</v>
      </c>
      <c r="AA19" s="749">
        <f t="shared" si="16"/>
        <v>81.2017820275997</v>
      </c>
      <c r="AB19" s="726">
        <f>AB22+AB25</f>
        <v>9040</v>
      </c>
      <c r="AC19" s="726">
        <f>AC22+AC25</f>
        <v>7497</v>
      </c>
      <c r="AD19" s="749">
        <f t="shared" si="17"/>
        <v>82.93141592920354</v>
      </c>
      <c r="AE19" s="715"/>
    </row>
    <row r="20" spans="1:31" ht="17.25" customHeight="1">
      <c r="A20" s="739"/>
      <c r="B20" s="740"/>
      <c r="C20" s="724" t="s">
        <v>5</v>
      </c>
      <c r="D20" s="725">
        <f>SUM(D21:D22)</f>
        <v>4215</v>
      </c>
      <c r="E20" s="731">
        <f>SUM(E21:E22)</f>
        <v>3786</v>
      </c>
      <c r="F20" s="727">
        <f t="shared" si="10"/>
        <v>89.8220640569395</v>
      </c>
      <c r="G20" s="725">
        <v>5631</v>
      </c>
      <c r="H20" s="731">
        <v>4666</v>
      </c>
      <c r="I20" s="727">
        <f t="shared" si="2"/>
        <v>82.86272420529214</v>
      </c>
      <c r="J20" s="725">
        <v>5683</v>
      </c>
      <c r="K20" s="731">
        <v>4691</v>
      </c>
      <c r="L20" s="727">
        <f t="shared" si="0"/>
        <v>82.54443075840226</v>
      </c>
      <c r="M20" s="741">
        <f>SUM(M21:M22)</f>
        <v>4865</v>
      </c>
      <c r="N20" s="731">
        <f>SUM(N21:N22)</f>
        <v>4259</v>
      </c>
      <c r="O20" s="727">
        <f t="shared" si="12"/>
        <v>87.5436793422405</v>
      </c>
      <c r="P20" s="741">
        <f>SUM(P21:P22)</f>
        <v>4737</v>
      </c>
      <c r="Q20" s="731">
        <f>SUM(Q21:Q22)</f>
        <v>4258</v>
      </c>
      <c r="R20" s="727">
        <f t="shared" si="13"/>
        <v>89.88811484061642</v>
      </c>
      <c r="S20" s="742">
        <f>SUM(S21:S22)</f>
        <v>5111</v>
      </c>
      <c r="T20" s="743">
        <f>SUM(T21:T22)</f>
        <v>4550</v>
      </c>
      <c r="U20" s="744">
        <f t="shared" si="14"/>
        <v>89.02367442770495</v>
      </c>
      <c r="V20" s="742">
        <f>SUM(V21:V22)</f>
        <v>6804</v>
      </c>
      <c r="W20" s="743">
        <f>SUM(W21:W22)</f>
        <v>5680</v>
      </c>
      <c r="X20" s="744">
        <f t="shared" si="15"/>
        <v>83.48030570252793</v>
      </c>
      <c r="Y20" s="742">
        <f>SUM(Y21:Y22)</f>
        <v>8280</v>
      </c>
      <c r="Z20" s="743">
        <f>SUM(Z21:Z22)</f>
        <v>6871</v>
      </c>
      <c r="AA20" s="744">
        <f t="shared" si="16"/>
        <v>82.9830917874396</v>
      </c>
      <c r="AB20" s="742">
        <f>SUM(AB21:AB22)</f>
        <v>8356</v>
      </c>
      <c r="AC20" s="743">
        <f>SUM(AC21:AC22)</f>
        <v>7078</v>
      </c>
      <c r="AD20" s="744">
        <f t="shared" si="17"/>
        <v>84.70560076591671</v>
      </c>
      <c r="AE20" s="715"/>
    </row>
    <row r="21" spans="1:31" ht="17.25" customHeight="1">
      <c r="A21" s="1557" t="s">
        <v>199</v>
      </c>
      <c r="B21" s="1558"/>
      <c r="C21" s="724" t="s">
        <v>39</v>
      </c>
      <c r="D21" s="725">
        <v>2279</v>
      </c>
      <c r="E21" s="731">
        <v>1986</v>
      </c>
      <c r="F21" s="727">
        <f t="shared" si="10"/>
        <v>87.1434839842036</v>
      </c>
      <c r="G21" s="725">
        <v>3013</v>
      </c>
      <c r="H21" s="731">
        <v>2373</v>
      </c>
      <c r="I21" s="727">
        <f t="shared" si="2"/>
        <v>78.75871224692997</v>
      </c>
      <c r="J21" s="725">
        <v>3049</v>
      </c>
      <c r="K21" s="731">
        <v>2343</v>
      </c>
      <c r="L21" s="727">
        <f t="shared" si="0"/>
        <v>76.84486716956378</v>
      </c>
      <c r="M21" s="741">
        <v>2504</v>
      </c>
      <c r="N21" s="731">
        <v>2092</v>
      </c>
      <c r="O21" s="727">
        <f t="shared" si="12"/>
        <v>83.54632587859425</v>
      </c>
      <c r="P21" s="741">
        <v>2381</v>
      </c>
      <c r="Q21" s="731">
        <v>2065</v>
      </c>
      <c r="R21" s="727">
        <f t="shared" si="13"/>
        <v>86.72826543469131</v>
      </c>
      <c r="S21" s="725">
        <v>2596</v>
      </c>
      <c r="T21" s="726">
        <v>2172</v>
      </c>
      <c r="U21" s="745">
        <f t="shared" si="14"/>
        <v>83.66718027734977</v>
      </c>
      <c r="V21" s="725">
        <v>3336</v>
      </c>
      <c r="W21" s="726">
        <v>2597</v>
      </c>
      <c r="X21" s="745">
        <f t="shared" si="15"/>
        <v>77.84772182254197</v>
      </c>
      <c r="Y21" s="725">
        <v>3919</v>
      </c>
      <c r="Z21" s="726">
        <v>3042</v>
      </c>
      <c r="AA21" s="745">
        <f t="shared" si="16"/>
        <v>77.6218423067109</v>
      </c>
      <c r="AB21" s="725">
        <v>4043</v>
      </c>
      <c r="AC21" s="726">
        <v>3187</v>
      </c>
      <c r="AD21" s="745">
        <f t="shared" si="17"/>
        <v>78.82760326490231</v>
      </c>
      <c r="AE21" s="715"/>
    </row>
    <row r="22" spans="1:31" ht="17.25" customHeight="1">
      <c r="A22" s="746"/>
      <c r="B22" s="747" t="s">
        <v>97</v>
      </c>
      <c r="C22" s="734" t="s">
        <v>40</v>
      </c>
      <c r="D22" s="735">
        <v>1936</v>
      </c>
      <c r="E22" s="736">
        <v>1800</v>
      </c>
      <c r="F22" s="737">
        <f t="shared" si="10"/>
        <v>92.97520661157024</v>
      </c>
      <c r="G22" s="735">
        <v>2618</v>
      </c>
      <c r="H22" s="736">
        <v>2293</v>
      </c>
      <c r="I22" s="737">
        <f t="shared" si="2"/>
        <v>87.5859434682964</v>
      </c>
      <c r="J22" s="735">
        <v>2634</v>
      </c>
      <c r="K22" s="736">
        <v>2348</v>
      </c>
      <c r="L22" s="737">
        <f t="shared" si="0"/>
        <v>89.14198936977981</v>
      </c>
      <c r="M22" s="738">
        <v>2361</v>
      </c>
      <c r="N22" s="736">
        <v>2167</v>
      </c>
      <c r="O22" s="737">
        <f t="shared" si="12"/>
        <v>91.78314273612877</v>
      </c>
      <c r="P22" s="738">
        <v>2356</v>
      </c>
      <c r="Q22" s="736">
        <v>2193</v>
      </c>
      <c r="R22" s="737">
        <f t="shared" si="13"/>
        <v>93.08149405772495</v>
      </c>
      <c r="S22" s="735">
        <v>2515</v>
      </c>
      <c r="T22" s="748">
        <v>2378</v>
      </c>
      <c r="U22" s="749">
        <f t="shared" si="14"/>
        <v>94.55268389662028</v>
      </c>
      <c r="V22" s="735">
        <v>3468</v>
      </c>
      <c r="W22" s="748">
        <v>3083</v>
      </c>
      <c r="X22" s="749">
        <f t="shared" si="15"/>
        <v>88.89850057670127</v>
      </c>
      <c r="Y22" s="735">
        <v>4361</v>
      </c>
      <c r="Z22" s="748">
        <v>3829</v>
      </c>
      <c r="AA22" s="749">
        <f t="shared" si="16"/>
        <v>87.80096308186197</v>
      </c>
      <c r="AB22" s="735">
        <v>4313</v>
      </c>
      <c r="AC22" s="748">
        <v>3891</v>
      </c>
      <c r="AD22" s="749">
        <f t="shared" si="17"/>
        <v>90.21562717366103</v>
      </c>
      <c r="AE22" s="715"/>
    </row>
    <row r="23" spans="1:31" ht="17.25" customHeight="1">
      <c r="A23" s="750"/>
      <c r="B23" s="751"/>
      <c r="C23" s="724" t="s">
        <v>5</v>
      </c>
      <c r="D23" s="752">
        <f>D17-D20</f>
        <v>9392</v>
      </c>
      <c r="E23" s="753">
        <f>E17-E20</f>
        <v>6783</v>
      </c>
      <c r="F23" s="727">
        <f t="shared" si="10"/>
        <v>72.2210391822828</v>
      </c>
      <c r="G23" s="752">
        <f>G17-G20</f>
        <v>8366</v>
      </c>
      <c r="H23" s="753">
        <f>H17-H20</f>
        <v>5860</v>
      </c>
      <c r="I23" s="727">
        <f t="shared" si="2"/>
        <v>70.04542194597178</v>
      </c>
      <c r="J23" s="752">
        <v>8372</v>
      </c>
      <c r="K23" s="753">
        <f>K17-K20</f>
        <v>6008</v>
      </c>
      <c r="L23" s="727">
        <f t="shared" si="0"/>
        <v>71.76301958910655</v>
      </c>
      <c r="M23" s="765">
        <f>SUM(M24:M25)</f>
        <v>9432</v>
      </c>
      <c r="N23" s="766">
        <f>SUM(N24:N25)</f>
        <v>6910</v>
      </c>
      <c r="O23" s="727">
        <f t="shared" si="12"/>
        <v>73.26123833757421</v>
      </c>
      <c r="P23" s="765">
        <f>SUM(P24:P25)</f>
        <v>10214</v>
      </c>
      <c r="Q23" s="766">
        <f>SUM(Q24:Q25)</f>
        <v>7556</v>
      </c>
      <c r="R23" s="727">
        <f t="shared" si="13"/>
        <v>73.97689445858624</v>
      </c>
      <c r="S23" s="725">
        <f>SUM(S24:S25)</f>
        <v>10760</v>
      </c>
      <c r="T23" s="726">
        <f>SUM(T24:T25)</f>
        <v>8015</v>
      </c>
      <c r="U23" s="744">
        <f t="shared" si="14"/>
        <v>74.48884758364312</v>
      </c>
      <c r="V23" s="725">
        <f>SUM(V24:V25)</f>
        <v>9957</v>
      </c>
      <c r="W23" s="726">
        <f>SUM(W24:W25)</f>
        <v>7186</v>
      </c>
      <c r="X23" s="744">
        <f t="shared" si="15"/>
        <v>72.17033242944662</v>
      </c>
      <c r="Y23" s="726">
        <f>SUM(Y24:Y25)</f>
        <v>8947</v>
      </c>
      <c r="Z23" s="726">
        <f>SUM(Z24:Z25)</f>
        <v>6340</v>
      </c>
      <c r="AA23" s="744">
        <f t="shared" si="16"/>
        <v>70.86174136582095</v>
      </c>
      <c r="AB23" s="726">
        <f>SUM(AB24:AB25)</f>
        <v>8594</v>
      </c>
      <c r="AC23" s="726">
        <f>SUM(AC24:AC25)</f>
        <v>6104</v>
      </c>
      <c r="AD23" s="744">
        <f t="shared" si="17"/>
        <v>71.02629741680242</v>
      </c>
      <c r="AE23" s="715"/>
    </row>
    <row r="24" spans="1:31" ht="17.25" customHeight="1">
      <c r="A24" s="729" t="s">
        <v>200</v>
      </c>
      <c r="B24" s="730"/>
      <c r="C24" s="724" t="s">
        <v>39</v>
      </c>
      <c r="D24" s="754">
        <f>D18-D21</f>
        <v>3998</v>
      </c>
      <c r="E24" s="753">
        <f>E18-E21</f>
        <v>2730</v>
      </c>
      <c r="F24" s="727">
        <f t="shared" si="10"/>
        <v>68.28414207103552</v>
      </c>
      <c r="G24" s="754">
        <f>G18-G21</f>
        <v>3463</v>
      </c>
      <c r="H24" s="753">
        <f>H18-H21</f>
        <v>2339</v>
      </c>
      <c r="I24" s="727">
        <f t="shared" si="2"/>
        <v>67.54259312734622</v>
      </c>
      <c r="J24" s="754">
        <v>3499</v>
      </c>
      <c r="K24" s="753">
        <f>K18-K21</f>
        <v>2469</v>
      </c>
      <c r="L24" s="727">
        <f t="shared" si="0"/>
        <v>70.56301800514433</v>
      </c>
      <c r="M24" s="759">
        <v>4137</v>
      </c>
      <c r="N24" s="760">
        <v>2946</v>
      </c>
      <c r="O24" s="727">
        <f t="shared" si="12"/>
        <v>71.21102248005802</v>
      </c>
      <c r="P24" s="759">
        <f>4935-P28</f>
        <v>4688</v>
      </c>
      <c r="Q24" s="760">
        <f>3438-Q28</f>
        <v>3293</v>
      </c>
      <c r="R24" s="727">
        <f t="shared" si="13"/>
        <v>70.24317406143345</v>
      </c>
      <c r="S24" s="725">
        <v>4935</v>
      </c>
      <c r="T24" s="726">
        <v>3441</v>
      </c>
      <c r="U24" s="745">
        <f t="shared" si="14"/>
        <v>69.72644376899696</v>
      </c>
      <c r="V24" s="725">
        <v>4612</v>
      </c>
      <c r="W24" s="726">
        <v>3107</v>
      </c>
      <c r="X24" s="745">
        <f t="shared" si="15"/>
        <v>67.36773633998266</v>
      </c>
      <c r="Y24" s="726">
        <v>4105</v>
      </c>
      <c r="Z24" s="726">
        <v>2696</v>
      </c>
      <c r="AA24" s="745">
        <f t="shared" si="16"/>
        <v>65.67600487210719</v>
      </c>
      <c r="AB24" s="726">
        <v>3867</v>
      </c>
      <c r="AC24" s="726">
        <v>2498</v>
      </c>
      <c r="AD24" s="745">
        <f t="shared" si="17"/>
        <v>64.59787949314715</v>
      </c>
      <c r="AE24" s="715"/>
    </row>
    <row r="25" spans="1:31" ht="17.25" customHeight="1">
      <c r="A25" s="732" t="s">
        <v>97</v>
      </c>
      <c r="B25" s="733"/>
      <c r="C25" s="734" t="s">
        <v>40</v>
      </c>
      <c r="D25" s="755">
        <f>D23-D24</f>
        <v>5394</v>
      </c>
      <c r="E25" s="756">
        <f>E23-E24</f>
        <v>4053</v>
      </c>
      <c r="F25" s="737">
        <f t="shared" si="10"/>
        <v>75.13904338153505</v>
      </c>
      <c r="G25" s="755">
        <f>G23-G24</f>
        <v>4903</v>
      </c>
      <c r="H25" s="756">
        <f>H23-H24</f>
        <v>3521</v>
      </c>
      <c r="I25" s="737">
        <f t="shared" si="2"/>
        <v>71.81317560677137</v>
      </c>
      <c r="J25" s="755">
        <v>4873</v>
      </c>
      <c r="K25" s="756">
        <f>K23-K24</f>
        <v>3539</v>
      </c>
      <c r="L25" s="737">
        <f t="shared" si="0"/>
        <v>72.6246665298584</v>
      </c>
      <c r="M25" s="764">
        <v>5295</v>
      </c>
      <c r="N25" s="763">
        <v>3964</v>
      </c>
      <c r="O25" s="737">
        <f t="shared" si="12"/>
        <v>74.86307837582625</v>
      </c>
      <c r="P25" s="764">
        <f>5829-P29</f>
        <v>5526</v>
      </c>
      <c r="Q25" s="763">
        <f>4453-Q29</f>
        <v>4263</v>
      </c>
      <c r="R25" s="737">
        <f t="shared" si="13"/>
        <v>77.1444082519001</v>
      </c>
      <c r="S25" s="735">
        <v>5825</v>
      </c>
      <c r="T25" s="748">
        <v>4574</v>
      </c>
      <c r="U25" s="749">
        <f t="shared" si="14"/>
        <v>78.52360515021459</v>
      </c>
      <c r="V25" s="735">
        <v>5345</v>
      </c>
      <c r="W25" s="748">
        <v>4079</v>
      </c>
      <c r="X25" s="749">
        <f t="shared" si="15"/>
        <v>76.31431244153416</v>
      </c>
      <c r="Y25" s="726">
        <v>4842</v>
      </c>
      <c r="Z25" s="726">
        <v>3644</v>
      </c>
      <c r="AA25" s="749">
        <f t="shared" si="16"/>
        <v>75.25815778603882</v>
      </c>
      <c r="AB25" s="726">
        <v>4727</v>
      </c>
      <c r="AC25" s="726">
        <v>3606</v>
      </c>
      <c r="AD25" s="745">
        <f t="shared" si="17"/>
        <v>76.28517029828645</v>
      </c>
      <c r="AE25" s="715"/>
    </row>
    <row r="26" spans="1:31" ht="22.5" customHeight="1">
      <c r="A26" s="1568" t="s">
        <v>202</v>
      </c>
      <c r="B26" s="1569"/>
      <c r="C26" s="1569"/>
      <c r="D26" s="1569"/>
      <c r="E26" s="1569"/>
      <c r="F26" s="1569"/>
      <c r="G26" s="1569"/>
      <c r="H26" s="1569"/>
      <c r="I26" s="1569"/>
      <c r="J26" s="1569"/>
      <c r="K26" s="1569"/>
      <c r="L26" s="1569"/>
      <c r="M26" s="1569"/>
      <c r="N26" s="1569"/>
      <c r="O26" s="1569"/>
      <c r="P26" s="1569"/>
      <c r="Q26" s="1569"/>
      <c r="R26" s="1569"/>
      <c r="S26" s="1569"/>
      <c r="T26" s="1569"/>
      <c r="U26" s="1569"/>
      <c r="V26" s="1569"/>
      <c r="W26" s="1569"/>
      <c r="X26" s="1569"/>
      <c r="Y26" s="1569"/>
      <c r="Z26" s="1569"/>
      <c r="AA26" s="1569"/>
      <c r="AB26" s="1569"/>
      <c r="AC26" s="1569"/>
      <c r="AD26" s="1570"/>
      <c r="AE26" s="715"/>
    </row>
    <row r="27" spans="1:31" ht="17.25" customHeight="1">
      <c r="A27" s="722"/>
      <c r="B27" s="723"/>
      <c r="C27" s="724" t="s">
        <v>5</v>
      </c>
      <c r="D27" s="767">
        <f>SUM(D28,D29)</f>
        <v>641</v>
      </c>
      <c r="E27" s="768">
        <f>SUM(E28,E29)</f>
        <v>349</v>
      </c>
      <c r="F27" s="727">
        <f>E27/D27*100</f>
        <v>54.44617784711389</v>
      </c>
      <c r="G27" s="767">
        <v>530</v>
      </c>
      <c r="H27" s="768">
        <v>317</v>
      </c>
      <c r="I27" s="727">
        <f>H27/G27*100</f>
        <v>59.81132075471698</v>
      </c>
      <c r="J27" s="767">
        <v>524</v>
      </c>
      <c r="K27" s="768">
        <v>308</v>
      </c>
      <c r="L27" s="727">
        <f>K27/J27*100</f>
        <v>58.778625954198475</v>
      </c>
      <c r="M27" s="769">
        <f>SUM(M28:M29)</f>
        <v>512</v>
      </c>
      <c r="N27" s="770">
        <f>SUM(N28:N29)</f>
        <v>314</v>
      </c>
      <c r="O27" s="727">
        <f>N27/M27*100</f>
        <v>61.328125</v>
      </c>
      <c r="P27" s="769">
        <f>SUM(P28:P29)</f>
        <v>550</v>
      </c>
      <c r="Q27" s="770">
        <f>SUM(Q28:Q29)</f>
        <v>335</v>
      </c>
      <c r="R27" s="727">
        <f>Q27/P27*100</f>
        <v>60.909090909090914</v>
      </c>
      <c r="S27" s="742">
        <f>SUM(S28:S29)</f>
        <v>577</v>
      </c>
      <c r="T27" s="743">
        <f>SUM(T28:T29)</f>
        <v>406</v>
      </c>
      <c r="U27" s="744">
        <f>T27/S27*100</f>
        <v>70.36395147313691</v>
      </c>
      <c r="V27" s="742">
        <f>SUM(V28:V29)</f>
        <v>582</v>
      </c>
      <c r="W27" s="743">
        <f>SUM(W28:W29)</f>
        <v>432</v>
      </c>
      <c r="X27" s="744">
        <f>W27/V27*100</f>
        <v>74.22680412371135</v>
      </c>
      <c r="Y27" s="726">
        <f>SUM(Y28:Y29)</f>
        <v>567</v>
      </c>
      <c r="Z27" s="726">
        <f>SUM(Z28:Z29)</f>
        <v>406</v>
      </c>
      <c r="AA27" s="744">
        <f>Z27/Y27*100</f>
        <v>71.60493827160494</v>
      </c>
      <c r="AB27" s="726">
        <f>SUM(AB28:AB29)</f>
        <v>546</v>
      </c>
      <c r="AC27" s="726">
        <f>SUM(AC28:AC29)</f>
        <v>403</v>
      </c>
      <c r="AD27" s="745">
        <f>AC27/AB27*100</f>
        <v>73.80952380952381</v>
      </c>
      <c r="AE27" s="715"/>
    </row>
    <row r="28" spans="1:31" ht="17.25" customHeight="1">
      <c r="A28" s="729" t="s">
        <v>198</v>
      </c>
      <c r="B28" s="730"/>
      <c r="C28" s="724" t="s">
        <v>39</v>
      </c>
      <c r="D28" s="767">
        <v>287</v>
      </c>
      <c r="E28" s="768">
        <v>168</v>
      </c>
      <c r="F28" s="727">
        <f>E28/D28*100</f>
        <v>58.536585365853654</v>
      </c>
      <c r="G28" s="767">
        <v>221</v>
      </c>
      <c r="H28" s="768">
        <v>132</v>
      </c>
      <c r="I28" s="727">
        <f>H28/G28*100</f>
        <v>59.72850678733032</v>
      </c>
      <c r="J28" s="767">
        <v>217</v>
      </c>
      <c r="K28" s="768">
        <v>124</v>
      </c>
      <c r="L28" s="727">
        <f>K28/J28*100</f>
        <v>57.14285714285714</v>
      </c>
      <c r="M28" s="769">
        <v>235</v>
      </c>
      <c r="N28" s="770">
        <v>146</v>
      </c>
      <c r="O28" s="727">
        <f>N28/M28*100</f>
        <v>62.12765957446808</v>
      </c>
      <c r="P28" s="769">
        <v>247</v>
      </c>
      <c r="Q28" s="770">
        <v>145</v>
      </c>
      <c r="R28" s="727">
        <f>Q28/P28*100</f>
        <v>58.70445344129555</v>
      </c>
      <c r="S28" s="725">
        <v>259</v>
      </c>
      <c r="T28" s="726">
        <v>190</v>
      </c>
      <c r="U28" s="745">
        <f>T28/S28*100</f>
        <v>73.35907335907336</v>
      </c>
      <c r="V28" s="725">
        <v>265</v>
      </c>
      <c r="W28" s="726">
        <v>185</v>
      </c>
      <c r="X28" s="745">
        <f>W28/V28*100</f>
        <v>69.81132075471697</v>
      </c>
      <c r="Y28" s="726">
        <v>238</v>
      </c>
      <c r="Z28" s="726">
        <v>170</v>
      </c>
      <c r="AA28" s="745">
        <f>Z28/Y28*100</f>
        <v>71.42857142857143</v>
      </c>
      <c r="AB28" s="726">
        <v>226</v>
      </c>
      <c r="AC28" s="726">
        <v>159</v>
      </c>
      <c r="AD28" s="745">
        <f>AC28/AB28*100</f>
        <v>70.35398230088495</v>
      </c>
      <c r="AE28" s="715"/>
    </row>
    <row r="29" spans="1:31" ht="17.25" customHeight="1" thickBot="1">
      <c r="A29" s="771" t="s">
        <v>97</v>
      </c>
      <c r="B29" s="772"/>
      <c r="C29" s="773" t="s">
        <v>40</v>
      </c>
      <c r="D29" s="774">
        <v>354</v>
      </c>
      <c r="E29" s="775">
        <v>181</v>
      </c>
      <c r="F29" s="776">
        <f>E29/D29*100</f>
        <v>51.12994350282486</v>
      </c>
      <c r="G29" s="774">
        <v>309</v>
      </c>
      <c r="H29" s="775">
        <v>185</v>
      </c>
      <c r="I29" s="776">
        <f>H29/G29*100</f>
        <v>59.8705501618123</v>
      </c>
      <c r="J29" s="774">
        <v>307</v>
      </c>
      <c r="K29" s="775">
        <v>184</v>
      </c>
      <c r="L29" s="776">
        <f>K29/J29*100</f>
        <v>59.934853420195445</v>
      </c>
      <c r="M29" s="777">
        <v>277</v>
      </c>
      <c r="N29" s="778">
        <v>168</v>
      </c>
      <c r="O29" s="776">
        <f>N29/M29*100</f>
        <v>60.64981949458483</v>
      </c>
      <c r="P29" s="777">
        <v>303</v>
      </c>
      <c r="Q29" s="778">
        <v>190</v>
      </c>
      <c r="R29" s="776">
        <f>Q29/P29*100</f>
        <v>62.70627062706271</v>
      </c>
      <c r="S29" s="779">
        <v>318</v>
      </c>
      <c r="T29" s="780">
        <v>216</v>
      </c>
      <c r="U29" s="781">
        <f>T29/S29*100</f>
        <v>67.9245283018868</v>
      </c>
      <c r="V29" s="779">
        <v>317</v>
      </c>
      <c r="W29" s="780">
        <v>247</v>
      </c>
      <c r="X29" s="781">
        <f>W29/V29*100</f>
        <v>77.91798107255521</v>
      </c>
      <c r="Y29" s="779">
        <v>329</v>
      </c>
      <c r="Z29" s="780">
        <v>236</v>
      </c>
      <c r="AA29" s="781">
        <f>Z29/Y29*100</f>
        <v>71.73252279635258</v>
      </c>
      <c r="AB29" s="779">
        <v>320</v>
      </c>
      <c r="AC29" s="780">
        <v>244</v>
      </c>
      <c r="AD29" s="781">
        <f>AC29/AB29*100</f>
        <v>76.25</v>
      </c>
      <c r="AE29" s="715"/>
    </row>
    <row r="30" spans="1:31" ht="15.75">
      <c r="A30" s="782" t="s">
        <v>201</v>
      </c>
      <c r="B30" s="782"/>
      <c r="C30" s="782"/>
      <c r="D30" s="782"/>
      <c r="E30" s="782"/>
      <c r="F30" s="783"/>
      <c r="G30" s="784"/>
      <c r="H30" s="784"/>
      <c r="I30" s="784"/>
      <c r="K30" s="784"/>
      <c r="L30" s="784"/>
      <c r="M30" s="784"/>
      <c r="N30" s="784"/>
      <c r="O30" s="784"/>
      <c r="P30" s="784"/>
      <c r="Q30" s="784"/>
      <c r="R30" s="784"/>
      <c r="U30" s="785" t="s">
        <v>203</v>
      </c>
      <c r="V30" s="782"/>
      <c r="W30" s="782"/>
      <c r="X30" s="785" t="s">
        <v>351</v>
      </c>
      <c r="Y30" s="782"/>
      <c r="Z30" s="782"/>
      <c r="AA30" s="782"/>
      <c r="AB30" s="782"/>
      <c r="AC30" s="782"/>
      <c r="AD30" s="782"/>
      <c r="AE30" s="782"/>
    </row>
    <row r="31" spans="1:31" ht="12.75">
      <c r="A31" s="782"/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  <c r="N31" s="782"/>
      <c r="O31" s="782"/>
      <c r="P31" s="782"/>
      <c r="Q31" s="782"/>
      <c r="R31" s="782"/>
      <c r="S31" s="782"/>
      <c r="T31" s="782"/>
      <c r="U31" s="782"/>
      <c r="V31" s="782"/>
      <c r="W31" s="782"/>
      <c r="X31" s="782"/>
      <c r="Y31" s="782"/>
      <c r="Z31" s="782"/>
      <c r="AA31" s="782"/>
      <c r="AB31" s="782"/>
      <c r="AC31" s="782"/>
      <c r="AD31" s="782"/>
      <c r="AE31" s="98"/>
    </row>
    <row r="32" spans="1:31" ht="12.75">
      <c r="A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  <c r="N32" s="782"/>
      <c r="O32" s="782"/>
      <c r="P32" s="782"/>
      <c r="Q32" s="782"/>
      <c r="R32" s="782"/>
      <c r="S32" s="782"/>
      <c r="T32" s="782"/>
      <c r="U32" s="782"/>
      <c r="V32" s="782"/>
      <c r="W32" s="782"/>
      <c r="X32" s="782"/>
      <c r="Y32" s="782"/>
      <c r="Z32" s="782"/>
      <c r="AA32" s="782"/>
      <c r="AB32" s="782"/>
      <c r="AC32" s="782"/>
      <c r="AD32" s="782"/>
      <c r="AE32" s="98"/>
    </row>
    <row r="33" spans="1:31" ht="16.5" thickBot="1">
      <c r="A33" s="782"/>
      <c r="B33" s="786"/>
      <c r="C33" s="787"/>
      <c r="D33" s="788">
        <v>2515</v>
      </c>
      <c r="E33" s="789">
        <v>5111</v>
      </c>
      <c r="F33" s="790">
        <v>2172</v>
      </c>
      <c r="G33" s="790">
        <v>2378</v>
      </c>
      <c r="H33" s="789">
        <v>4550</v>
      </c>
      <c r="I33" s="791">
        <v>83.66718027734977</v>
      </c>
      <c r="J33" s="791">
        <v>94.55268389662028</v>
      </c>
      <c r="K33" s="791">
        <v>89.02367442770495</v>
      </c>
      <c r="L33" s="785"/>
      <c r="M33" s="785"/>
      <c r="N33" s="785"/>
      <c r="O33" s="785"/>
      <c r="P33" s="782"/>
      <c r="Q33" s="782"/>
      <c r="R33" s="782"/>
      <c r="S33" s="782"/>
      <c r="T33" s="782"/>
      <c r="U33" s="782"/>
      <c r="V33" s="782"/>
      <c r="W33" s="782"/>
      <c r="X33" s="782"/>
      <c r="Y33" s="782"/>
      <c r="Z33" s="782"/>
      <c r="AA33" s="782"/>
      <c r="AB33" s="782"/>
      <c r="AC33" s="782"/>
      <c r="AD33" s="782"/>
      <c r="AE33" s="98"/>
    </row>
    <row r="34" s="792" customFormat="1" ht="12.75"/>
    <row r="35" s="792" customFormat="1" ht="12.75"/>
    <row r="36" s="792" customFormat="1" ht="12.75"/>
    <row r="37" s="792" customFormat="1" ht="12.75"/>
    <row r="38" s="792" customFormat="1" ht="12.75"/>
    <row r="39" s="792" customFormat="1" ht="12.75"/>
    <row r="40" s="792" customFormat="1" ht="12.75"/>
    <row r="41" s="792" customFormat="1" ht="12.75"/>
    <row r="42" s="792" customFormat="1" ht="12.75"/>
    <row r="43" s="792" customFormat="1" ht="12.75"/>
    <row r="44" s="792" customFormat="1" ht="12.75"/>
    <row r="45" s="792" customFormat="1" ht="12.75"/>
    <row r="46" s="792" customFormat="1" ht="12.75"/>
    <row r="47" s="792" customFormat="1" ht="12.75"/>
    <row r="48" s="792" customFormat="1" ht="12.75"/>
    <row r="49" s="792" customFormat="1" ht="12.75"/>
    <row r="50" s="792" customFormat="1" ht="12.75"/>
    <row r="51" s="792" customFormat="1" ht="12.75"/>
    <row r="52" s="792" customFormat="1" ht="12.75"/>
    <row r="53" s="792" customFormat="1" ht="12.75"/>
    <row r="54" s="792" customFormat="1" ht="12.75"/>
    <row r="55" s="792" customFormat="1" ht="12.75"/>
    <row r="56" s="792" customFormat="1" ht="12.75"/>
    <row r="57" s="792" customFormat="1" ht="12.75"/>
    <row r="58" s="792" customFormat="1" ht="12.75"/>
    <row r="59" s="792" customFormat="1" ht="12.75"/>
    <row r="60" s="792" customFormat="1" ht="12.75"/>
    <row r="61" s="792" customFormat="1" ht="12.75"/>
    <row r="62" s="792" customFormat="1" ht="12.75"/>
    <row r="63" s="792" customFormat="1" ht="12.75"/>
    <row r="64" s="792" customFormat="1" ht="12.75"/>
    <row r="65" s="792" customFormat="1" ht="12.75"/>
    <row r="66" s="792" customFormat="1" ht="12.75"/>
    <row r="67" s="792" customFormat="1" ht="12.75"/>
    <row r="68" s="792" customFormat="1" ht="12.75"/>
    <row r="69" s="792" customFormat="1" ht="12.75"/>
    <row r="70" s="792" customFormat="1" ht="12.75"/>
    <row r="71" s="792" customFormat="1" ht="12.75"/>
    <row r="72" s="792" customFormat="1" ht="12.75"/>
    <row r="73" s="792" customFormat="1" ht="12.75"/>
    <row r="74" s="792" customFormat="1" ht="12.75"/>
    <row r="75" s="792" customFormat="1" ht="12.75"/>
    <row r="76" s="792" customFormat="1" ht="12.75"/>
    <row r="77" s="792" customFormat="1" ht="12.75"/>
    <row r="78" s="792" customFormat="1" ht="12.75"/>
    <row r="79" s="792" customFormat="1" ht="12.75"/>
    <row r="80" s="792" customFormat="1" ht="12.75"/>
    <row r="81" s="792" customFormat="1" ht="12.75"/>
    <row r="82" s="792" customFormat="1" ht="12.75"/>
    <row r="83" s="792" customFormat="1" ht="12.75"/>
    <row r="84" s="792" customFormat="1" ht="12.75"/>
    <row r="85" s="792" customFormat="1" ht="12.75"/>
    <row r="86" s="792" customFormat="1" ht="12.75"/>
    <row r="87" s="792" customFormat="1" ht="12.75"/>
    <row r="88" s="792" customFormat="1" ht="12.75"/>
    <row r="89" s="792" customFormat="1" ht="12.75"/>
    <row r="90" s="792" customFormat="1" ht="12.75"/>
    <row r="91" s="792" customFormat="1" ht="12.75"/>
    <row r="92" s="792" customFormat="1" ht="12.75"/>
    <row r="93" s="792" customFormat="1" ht="12.75"/>
    <row r="94" s="792" customFormat="1" ht="12.75"/>
    <row r="95" s="792" customFormat="1" ht="12.75"/>
    <row r="96" s="792" customFormat="1" ht="12.75"/>
    <row r="97" s="792" customFormat="1" ht="12.75"/>
    <row r="98" s="792" customFormat="1" ht="12.75"/>
    <row r="99" s="792" customFormat="1" ht="12.75"/>
    <row r="100" s="792" customFormat="1" ht="12.75"/>
    <row r="101" s="792" customFormat="1" ht="12.75"/>
    <row r="102" s="792" customFormat="1" ht="12.75"/>
    <row r="103" s="792" customFormat="1" ht="12.75"/>
    <row r="104" s="792" customFormat="1" ht="12.75"/>
    <row r="105" s="792" customFormat="1" ht="12.75"/>
    <row r="106" s="792" customFormat="1" ht="12.75"/>
    <row r="107" s="792" customFormat="1" ht="12.75"/>
    <row r="108" s="792" customFormat="1" ht="12.75"/>
    <row r="109" s="792" customFormat="1" ht="12.75"/>
    <row r="110" s="792" customFormat="1" ht="12.75"/>
    <row r="111" s="792" customFormat="1" ht="12.75"/>
    <row r="112" s="792" customFormat="1" ht="12.75"/>
    <row r="113" s="792" customFormat="1" ht="12.75"/>
    <row r="114" s="792" customFormat="1" ht="12.75"/>
    <row r="115" s="792" customFormat="1" ht="12.75"/>
    <row r="116" s="792" customFormat="1" ht="12.75"/>
    <row r="117" s="792" customFormat="1" ht="12.75"/>
    <row r="118" s="792" customFormat="1" ht="12.75"/>
    <row r="119" s="792" customFormat="1" ht="12.75"/>
    <row r="120" s="792" customFormat="1" ht="12.75"/>
    <row r="121" s="792" customFormat="1" ht="12.75"/>
    <row r="122" s="792" customFormat="1" ht="12.75"/>
    <row r="123" s="792" customFormat="1" ht="12.75"/>
    <row r="124" s="792" customFormat="1" ht="12.75"/>
    <row r="125" s="792" customFormat="1" ht="12.75"/>
    <row r="126" s="792" customFormat="1" ht="12.75"/>
    <row r="127" s="792" customFormat="1" ht="12.75"/>
    <row r="128" s="792" customFormat="1" ht="12.75"/>
    <row r="129" s="792" customFormat="1" ht="12.75"/>
    <row r="130" s="792" customFormat="1" ht="12.75"/>
    <row r="131" s="792" customFormat="1" ht="12.75"/>
    <row r="132" s="792" customFormat="1" ht="12.75"/>
    <row r="133" s="792" customFormat="1" ht="12.75"/>
    <row r="134" s="792" customFormat="1" ht="12.75"/>
    <row r="135" s="792" customFormat="1" ht="12.75"/>
    <row r="136" s="792" customFormat="1" ht="12.75"/>
    <row r="137" s="792" customFormat="1" ht="12.75"/>
    <row r="138" s="792" customFormat="1" ht="12.75"/>
    <row r="139" s="792" customFormat="1" ht="12.75"/>
    <row r="140" s="792" customFormat="1" ht="12.75"/>
    <row r="141" s="792" customFormat="1" ht="12.75"/>
    <row r="142" s="792" customFormat="1" ht="12.75"/>
    <row r="143" s="792" customFormat="1" ht="12.75"/>
    <row r="144" s="792" customFormat="1" ht="12.75"/>
    <row r="145" s="792" customFormat="1" ht="12.75"/>
    <row r="146" s="792" customFormat="1" ht="12.75"/>
    <row r="147" s="792" customFormat="1" ht="12.75"/>
    <row r="148" s="792" customFormat="1" ht="12.75"/>
    <row r="149" s="792" customFormat="1" ht="12.75"/>
    <row r="150" s="792" customFormat="1" ht="12.75"/>
    <row r="151" s="792" customFormat="1" ht="12.75"/>
    <row r="152" s="792" customFormat="1" ht="12.75"/>
    <row r="153" s="792" customFormat="1" ht="12.75"/>
    <row r="154" s="792" customFormat="1" ht="12.75"/>
    <row r="155" s="792" customFormat="1" ht="12.75"/>
    <row r="156" s="792" customFormat="1" ht="12.75"/>
    <row r="157" s="792" customFormat="1" ht="12.75"/>
    <row r="158" s="792" customFormat="1" ht="12.75"/>
    <row r="159" s="792" customFormat="1" ht="12.75"/>
    <row r="160" s="792" customFormat="1" ht="12.75"/>
    <row r="161" s="792" customFormat="1" ht="12.75"/>
    <row r="162" s="792" customFormat="1" ht="12.75"/>
    <row r="163" s="792" customFormat="1" ht="12.75"/>
    <row r="164" s="792" customFormat="1" ht="12.75"/>
    <row r="165" s="792" customFormat="1" ht="12.75"/>
    <row r="166" s="792" customFormat="1" ht="12.75"/>
    <row r="167" s="792" customFormat="1" ht="12.75"/>
    <row r="168" s="792" customFormat="1" ht="12.75"/>
  </sheetData>
  <sheetProtection/>
  <mergeCells count="15">
    <mergeCell ref="A26:AD26"/>
    <mergeCell ref="G4:I4"/>
    <mergeCell ref="J4:L4"/>
    <mergeCell ref="M4:O4"/>
    <mergeCell ref="A11:B11"/>
    <mergeCell ref="AB4:AD4"/>
    <mergeCell ref="A6:AD6"/>
    <mergeCell ref="A21:B21"/>
    <mergeCell ref="Y4:AA4"/>
    <mergeCell ref="P4:R4"/>
    <mergeCell ref="S4:U4"/>
    <mergeCell ref="V4:X4"/>
    <mergeCell ref="A4:C5"/>
    <mergeCell ref="D4:F4"/>
    <mergeCell ref="A16:AD16"/>
  </mergeCells>
  <printOptions/>
  <pageMargins left="0.3" right="0.25" top="0.5" bottom="0.33" header="0.51" footer="0.17"/>
  <pageSetup horizontalDpi="300" verticalDpi="300" orientation="landscape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H3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C9" sqref="AC9"/>
    </sheetView>
  </sheetViews>
  <sheetFormatPr defaultColWidth="9.140625" defaultRowHeight="12.75"/>
  <cols>
    <col min="1" max="1" width="13.7109375" style="712" customWidth="1"/>
    <col min="2" max="2" width="11.7109375" style="712" customWidth="1"/>
    <col min="3" max="3" width="14.421875" style="712" customWidth="1"/>
    <col min="4" max="9" width="9.140625" style="712" hidden="1" customWidth="1"/>
    <col min="10" max="17" width="11.7109375" style="712" hidden="1" customWidth="1"/>
    <col min="18" max="18" width="9.8515625" style="712" hidden="1" customWidth="1"/>
    <col min="19" max="21" width="11.140625" style="712" hidden="1" customWidth="1"/>
    <col min="22" max="22" width="11.140625" style="712" customWidth="1"/>
    <col min="23" max="23" width="10.140625" style="712" customWidth="1"/>
    <col min="24" max="24" width="9.57421875" style="712" customWidth="1"/>
    <col min="25" max="25" width="11.140625" style="712" customWidth="1"/>
    <col min="26" max="26" width="10.00390625" style="712" customWidth="1"/>
    <col min="27" max="27" width="9.57421875" style="712" customWidth="1"/>
    <col min="28" max="28" width="11.140625" style="712" customWidth="1"/>
    <col min="29" max="29" width="9.421875" style="712" customWidth="1"/>
    <col min="30" max="30" width="8.421875" style="712" customWidth="1"/>
    <col min="31" max="31" width="9.8515625" style="712" customWidth="1"/>
    <col min="32" max="16384" width="9.140625" style="712" customWidth="1"/>
  </cols>
  <sheetData>
    <row r="1" spans="1:34" ht="15.75">
      <c r="A1" s="709" t="s">
        <v>352</v>
      </c>
      <c r="B1" s="793"/>
      <c r="C1" s="793"/>
      <c r="D1" s="793"/>
      <c r="E1" s="793"/>
      <c r="F1" s="793"/>
      <c r="G1" s="793"/>
      <c r="H1" s="793"/>
      <c r="I1" s="793"/>
      <c r="J1" s="793"/>
      <c r="K1" s="711"/>
      <c r="L1" s="711"/>
      <c r="M1" s="711"/>
      <c r="N1" s="711"/>
      <c r="O1" s="711"/>
      <c r="P1" s="711"/>
      <c r="Q1" s="711"/>
      <c r="R1" s="711"/>
      <c r="S1" s="711"/>
      <c r="T1" s="711"/>
      <c r="U1" s="711"/>
      <c r="V1" s="711"/>
      <c r="W1" s="711"/>
      <c r="X1" s="711"/>
      <c r="Y1" s="711"/>
      <c r="Z1" s="711"/>
      <c r="AA1" s="711"/>
      <c r="AB1" s="711"/>
      <c r="AC1" s="711"/>
      <c r="AD1" s="711"/>
      <c r="AE1" s="711"/>
      <c r="AF1" s="711"/>
      <c r="AG1" s="793"/>
      <c r="AH1" s="793"/>
    </row>
    <row r="2" spans="1:34" ht="15.75">
      <c r="A2" s="793"/>
      <c r="B2" s="793"/>
      <c r="C2" s="793"/>
      <c r="D2" s="793"/>
      <c r="E2" s="793"/>
      <c r="F2" s="793"/>
      <c r="G2" s="793"/>
      <c r="H2" s="793"/>
      <c r="I2" s="793"/>
      <c r="J2" s="793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711"/>
      <c r="Z2" s="711"/>
      <c r="AA2" s="711"/>
      <c r="AB2" s="711"/>
      <c r="AC2" s="711"/>
      <c r="AD2" s="711"/>
      <c r="AE2" s="711"/>
      <c r="AF2" s="711"/>
      <c r="AG2" s="793"/>
      <c r="AH2" s="793"/>
    </row>
    <row r="3" spans="1:34" ht="16.5" thickBot="1">
      <c r="A3" s="713" t="s">
        <v>193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709"/>
      <c r="Y3" s="709"/>
      <c r="Z3" s="709"/>
      <c r="AA3" s="709"/>
      <c r="AB3" s="709"/>
      <c r="AC3" s="709"/>
      <c r="AD3" s="709"/>
      <c r="AE3" s="408"/>
      <c r="AF3" s="709"/>
      <c r="AG3" s="709"/>
      <c r="AH3" s="709"/>
    </row>
    <row r="4" spans="1:34" ht="18.75" customHeight="1">
      <c r="A4" s="1559" t="s">
        <v>422</v>
      </c>
      <c r="B4" s="1560"/>
      <c r="C4" s="1561"/>
      <c r="D4" s="794">
        <v>2001</v>
      </c>
      <c r="E4" s="795"/>
      <c r="F4" s="796"/>
      <c r="G4" s="794">
        <v>2002</v>
      </c>
      <c r="H4" s="795"/>
      <c r="I4" s="796"/>
      <c r="J4" s="794">
        <v>2003</v>
      </c>
      <c r="K4" s="795"/>
      <c r="L4" s="795"/>
      <c r="M4" s="1571">
        <v>2004</v>
      </c>
      <c r="N4" s="1552"/>
      <c r="O4" s="1575"/>
      <c r="P4" s="1571">
        <v>2005</v>
      </c>
      <c r="Q4" s="1552"/>
      <c r="R4" s="1575"/>
      <c r="S4" s="1571">
        <v>2006</v>
      </c>
      <c r="T4" s="1552"/>
      <c r="U4" s="1553"/>
      <c r="V4" s="1571">
        <v>2007</v>
      </c>
      <c r="W4" s="1552"/>
      <c r="X4" s="1553"/>
      <c r="Y4" s="1571">
        <v>2008</v>
      </c>
      <c r="Z4" s="1552"/>
      <c r="AA4" s="1553"/>
      <c r="AB4" s="1571">
        <v>2009</v>
      </c>
      <c r="AC4" s="1552"/>
      <c r="AD4" s="1553"/>
      <c r="AE4" s="797"/>
      <c r="AF4" s="782"/>
      <c r="AG4" s="782"/>
      <c r="AH4" s="782"/>
    </row>
    <row r="5" spans="1:34" ht="30" customHeight="1">
      <c r="A5" s="1562"/>
      <c r="B5" s="1563"/>
      <c r="C5" s="1564"/>
      <c r="D5" s="798" t="s">
        <v>125</v>
      </c>
      <c r="E5" s="720" t="s">
        <v>204</v>
      </c>
      <c r="F5" s="799" t="s">
        <v>205</v>
      </c>
      <c r="G5" s="798" t="s">
        <v>125</v>
      </c>
      <c r="H5" s="720" t="s">
        <v>126</v>
      </c>
      <c r="I5" s="799" t="s">
        <v>206</v>
      </c>
      <c r="J5" s="798" t="s">
        <v>125</v>
      </c>
      <c r="K5" s="720" t="s">
        <v>126</v>
      </c>
      <c r="L5" s="800" t="s">
        <v>206</v>
      </c>
      <c r="M5" s="798" t="s">
        <v>125</v>
      </c>
      <c r="N5" s="720" t="s">
        <v>126</v>
      </c>
      <c r="O5" s="800" t="s">
        <v>206</v>
      </c>
      <c r="P5" s="798" t="s">
        <v>125</v>
      </c>
      <c r="Q5" s="720" t="s">
        <v>126</v>
      </c>
      <c r="R5" s="800" t="s">
        <v>206</v>
      </c>
      <c r="S5" s="798" t="s">
        <v>125</v>
      </c>
      <c r="T5" s="720" t="s">
        <v>126</v>
      </c>
      <c r="U5" s="799" t="s">
        <v>206</v>
      </c>
      <c r="V5" s="798" t="s">
        <v>125</v>
      </c>
      <c r="W5" s="1190" t="s">
        <v>329</v>
      </c>
      <c r="X5" s="1191" t="s">
        <v>423</v>
      </c>
      <c r="Y5" s="798" t="s">
        <v>125</v>
      </c>
      <c r="Z5" s="1190" t="s">
        <v>329</v>
      </c>
      <c r="AA5" s="1191" t="s">
        <v>423</v>
      </c>
      <c r="AB5" s="798" t="s">
        <v>125</v>
      </c>
      <c r="AC5" s="1190" t="s">
        <v>329</v>
      </c>
      <c r="AD5" s="1191" t="s">
        <v>423</v>
      </c>
      <c r="AE5" s="797"/>
      <c r="AF5" s="782"/>
      <c r="AG5" s="782"/>
      <c r="AH5" s="782"/>
    </row>
    <row r="6" spans="1:34" ht="22.5" customHeight="1">
      <c r="A6" s="1554" t="s">
        <v>100</v>
      </c>
      <c r="B6" s="1555"/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6"/>
      <c r="AE6" s="797"/>
      <c r="AF6" s="782"/>
      <c r="AG6" s="782"/>
      <c r="AH6" s="782"/>
    </row>
    <row r="7" spans="1:34" ht="16.5" customHeight="1">
      <c r="A7" s="722"/>
      <c r="B7" s="723"/>
      <c r="C7" s="801" t="s">
        <v>5</v>
      </c>
      <c r="D7" s="802">
        <v>6796</v>
      </c>
      <c r="E7" s="803">
        <v>4974</v>
      </c>
      <c r="F7" s="804">
        <f>E7/D7*100</f>
        <v>73.19011183048852</v>
      </c>
      <c r="G7" s="802">
        <v>6845</v>
      </c>
      <c r="H7" s="803">
        <v>5189</v>
      </c>
      <c r="I7" s="804">
        <f>H7/G7*100</f>
        <v>75.80715850986121</v>
      </c>
      <c r="J7" s="805">
        <f>J8+J9</f>
        <v>7205</v>
      </c>
      <c r="K7" s="806">
        <f>K8+K9</f>
        <v>5411</v>
      </c>
      <c r="L7" s="807">
        <f>K7/J7*100</f>
        <v>75.10062456627342</v>
      </c>
      <c r="M7" s="802">
        <f>M8+M9</f>
        <v>6883</v>
      </c>
      <c r="N7" s="806">
        <f>N8+N9</f>
        <v>5245</v>
      </c>
      <c r="O7" s="807">
        <f>N7/M7*100</f>
        <v>76.2022373964841</v>
      </c>
      <c r="P7" s="808">
        <f>P8+P9</f>
        <v>7274</v>
      </c>
      <c r="Q7" s="809">
        <f>Q8+Q9</f>
        <v>5686</v>
      </c>
      <c r="R7" s="807">
        <f>Q7/P7*100</f>
        <v>78.16882045642014</v>
      </c>
      <c r="S7" s="808">
        <f>S8+S9</f>
        <v>8040</v>
      </c>
      <c r="T7" s="809">
        <f>T8+T9</f>
        <v>6376</v>
      </c>
      <c r="U7" s="810">
        <f>T7/S7*100</f>
        <v>79.30348258706468</v>
      </c>
      <c r="V7" s="808">
        <f>V8+V9</f>
        <v>8517</v>
      </c>
      <c r="W7" s="809">
        <f>W8+W9</f>
        <v>6622</v>
      </c>
      <c r="X7" s="810">
        <f>W7/V7*100</f>
        <v>77.75038158976166</v>
      </c>
      <c r="Y7" s="808">
        <f>Y8+Y9</f>
        <v>8907</v>
      </c>
      <c r="Z7" s="809">
        <f>Z8+Z9</f>
        <v>7011</v>
      </c>
      <c r="AA7" s="810">
        <f>Z7/Y7*100</f>
        <v>78.71337150555743</v>
      </c>
      <c r="AB7" s="808">
        <f>AB8+AB9</f>
        <v>9490</v>
      </c>
      <c r="AC7" s="809">
        <f>AC8+AC9</f>
        <v>7475</v>
      </c>
      <c r="AD7" s="810">
        <f>AC7/AB7*100</f>
        <v>78.76712328767124</v>
      </c>
      <c r="AE7" s="797"/>
      <c r="AF7" s="782"/>
      <c r="AG7" s="782"/>
      <c r="AH7" s="782"/>
    </row>
    <row r="8" spans="1:34" ht="16.5" customHeight="1">
      <c r="A8" s="729" t="s">
        <v>198</v>
      </c>
      <c r="B8" s="730"/>
      <c r="C8" s="801" t="s">
        <v>39</v>
      </c>
      <c r="D8" s="802">
        <v>3181</v>
      </c>
      <c r="E8" s="803">
        <v>2228</v>
      </c>
      <c r="F8" s="804">
        <f>E8/D8*100</f>
        <v>70.04086765168186</v>
      </c>
      <c r="G8" s="802">
        <v>3163</v>
      </c>
      <c r="H8" s="803">
        <v>2338</v>
      </c>
      <c r="I8" s="804">
        <f>H8/G8*100</f>
        <v>73.91716724628517</v>
      </c>
      <c r="J8" s="805">
        <f>J18+J28</f>
        <v>3307</v>
      </c>
      <c r="K8" s="806">
        <f>K18+K28</f>
        <v>2346</v>
      </c>
      <c r="L8" s="807">
        <f>K8/J8*100</f>
        <v>70.94042939219837</v>
      </c>
      <c r="M8" s="802">
        <f>M18+M28</f>
        <v>3209</v>
      </c>
      <c r="N8" s="806">
        <f>N18+N28</f>
        <v>2328</v>
      </c>
      <c r="O8" s="807">
        <f>N8/M8*100</f>
        <v>72.5459644749143</v>
      </c>
      <c r="P8" s="811">
        <f>P18+P28</f>
        <v>3301</v>
      </c>
      <c r="Q8" s="812">
        <f>Q18+Q28</f>
        <v>2430</v>
      </c>
      <c r="R8" s="807">
        <f>Q8/P8*100</f>
        <v>73.61405634656165</v>
      </c>
      <c r="S8" s="811">
        <f>S18+S28</f>
        <v>3698</v>
      </c>
      <c r="T8" s="812">
        <f>T18+T28</f>
        <v>2769</v>
      </c>
      <c r="U8" s="804">
        <f>T8/S8*100</f>
        <v>74.87831260140617</v>
      </c>
      <c r="V8" s="811">
        <f>V18+V28</f>
        <v>3896</v>
      </c>
      <c r="W8" s="812">
        <f>W18+W28</f>
        <v>2842</v>
      </c>
      <c r="X8" s="804">
        <f>W8/V8*100</f>
        <v>72.94661190965093</v>
      </c>
      <c r="Y8" s="811">
        <f>Y18+Y28</f>
        <v>3999</v>
      </c>
      <c r="Z8" s="812">
        <f>Z18+Z28</f>
        <v>2976</v>
      </c>
      <c r="AA8" s="804">
        <f>Z8/Y8*100</f>
        <v>74.4186046511628</v>
      </c>
      <c r="AB8" s="811">
        <f>AB18+AB28</f>
        <v>4034</v>
      </c>
      <c r="AC8" s="812">
        <f>AC18+AC28</f>
        <v>2995</v>
      </c>
      <c r="AD8" s="804">
        <f>AC8/AB8*100</f>
        <v>74.24392662369857</v>
      </c>
      <c r="AE8" s="797"/>
      <c r="AF8" s="782"/>
      <c r="AG8" s="782"/>
      <c r="AH8" s="782"/>
    </row>
    <row r="9" spans="1:34" ht="16.5" customHeight="1">
      <c r="A9" s="732" t="s">
        <v>97</v>
      </c>
      <c r="B9" s="733"/>
      <c r="C9" s="813" t="s">
        <v>40</v>
      </c>
      <c r="D9" s="814">
        <v>3615</v>
      </c>
      <c r="E9" s="815">
        <v>2746</v>
      </c>
      <c r="F9" s="816">
        <f>E9/D9*100</f>
        <v>75.9612724757953</v>
      </c>
      <c r="G9" s="814">
        <v>3682</v>
      </c>
      <c r="H9" s="815">
        <v>2851</v>
      </c>
      <c r="I9" s="816">
        <f>H9/G9*100</f>
        <v>77.43074416078218</v>
      </c>
      <c r="J9" s="817">
        <f>J19+J29</f>
        <v>3898</v>
      </c>
      <c r="K9" s="818">
        <f>K19+K29</f>
        <v>3065</v>
      </c>
      <c r="L9" s="819">
        <f>K9/J9*100</f>
        <v>78.63006670087225</v>
      </c>
      <c r="M9" s="814">
        <f>M19+M29</f>
        <v>3674</v>
      </c>
      <c r="N9" s="818">
        <f>N19+N29</f>
        <v>2917</v>
      </c>
      <c r="O9" s="819">
        <f>N9/M9*100</f>
        <v>79.39575394665215</v>
      </c>
      <c r="P9" s="820">
        <f>P19+P29</f>
        <v>3973</v>
      </c>
      <c r="Q9" s="821">
        <f>Q19+Q29</f>
        <v>3256</v>
      </c>
      <c r="R9" s="822">
        <f>Q9/P9*100</f>
        <v>81.95318399194564</v>
      </c>
      <c r="S9" s="820">
        <f>S19+S29</f>
        <v>4342</v>
      </c>
      <c r="T9" s="821">
        <f>T19+T29</f>
        <v>3607</v>
      </c>
      <c r="U9" s="823">
        <f>T9/S9*100</f>
        <v>83.07231690465223</v>
      </c>
      <c r="V9" s="820">
        <f>V19+V29</f>
        <v>4621</v>
      </c>
      <c r="W9" s="821">
        <f>W19+W29</f>
        <v>3780</v>
      </c>
      <c r="X9" s="823">
        <f>W9/V9*100</f>
        <v>81.80047608742697</v>
      </c>
      <c r="Y9" s="820">
        <f>Y19+Y29</f>
        <v>4908</v>
      </c>
      <c r="Z9" s="821">
        <f>Z19+Z29</f>
        <v>4035</v>
      </c>
      <c r="AA9" s="823">
        <f>Z9/Y9*100</f>
        <v>82.21271393643032</v>
      </c>
      <c r="AB9" s="820">
        <f>AB19+AB29</f>
        <v>5456</v>
      </c>
      <c r="AC9" s="821">
        <f>AC19+AC29</f>
        <v>4480</v>
      </c>
      <c r="AD9" s="823">
        <f>AC9/AB9*100</f>
        <v>82.11143695014663</v>
      </c>
      <c r="AE9" s="797"/>
      <c r="AF9" s="782"/>
      <c r="AG9" s="782"/>
      <c r="AH9" s="782"/>
    </row>
    <row r="10" spans="1:34" ht="16.5" customHeight="1">
      <c r="A10" s="824"/>
      <c r="B10" s="740"/>
      <c r="C10" s="801" t="s">
        <v>5</v>
      </c>
      <c r="D10" s="802">
        <v>2976</v>
      </c>
      <c r="E10" s="803">
        <v>2227</v>
      </c>
      <c r="F10" s="804">
        <f aca="true" t="shared" si="0" ref="F10:F15">E10/D10*100</f>
        <v>74.83198924731182</v>
      </c>
      <c r="G10" s="802">
        <v>3202</v>
      </c>
      <c r="H10" s="803">
        <v>2485</v>
      </c>
      <c r="I10" s="804">
        <f aca="true" t="shared" si="1" ref="I10:I15">H10/G10*100</f>
        <v>77.60774515927545</v>
      </c>
      <c r="J10" s="805">
        <f>J11+J12</f>
        <v>3417</v>
      </c>
      <c r="K10" s="806">
        <f>K11+K12</f>
        <v>2577</v>
      </c>
      <c r="L10" s="807">
        <f aca="true" t="shared" si="2" ref="L10:L15">K10/J10*100</f>
        <v>75.41703248463566</v>
      </c>
      <c r="M10" s="802">
        <f>M11+M12</f>
        <v>3454</v>
      </c>
      <c r="N10" s="806">
        <f>N11+N12</f>
        <v>2723</v>
      </c>
      <c r="O10" s="807">
        <f aca="true" t="shared" si="3" ref="O10:O15">N10/M10*100</f>
        <v>78.8361320208454</v>
      </c>
      <c r="P10" s="811">
        <f>P11+P12</f>
        <v>3534</v>
      </c>
      <c r="Q10" s="812">
        <f>Q11+Q12</f>
        <v>2926</v>
      </c>
      <c r="R10" s="807">
        <f aca="true" t="shared" si="4" ref="R10:R15">Q10/P10*100</f>
        <v>82.79569892473118</v>
      </c>
      <c r="S10" s="811">
        <f>S11+S12</f>
        <v>3765</v>
      </c>
      <c r="T10" s="812">
        <f>T11+T12</f>
        <v>3156</v>
      </c>
      <c r="U10" s="804">
        <f aca="true" t="shared" si="5" ref="U10:U15">T10/S10*100</f>
        <v>83.82470119521912</v>
      </c>
      <c r="V10" s="811">
        <f>V11+V12</f>
        <v>3911</v>
      </c>
      <c r="W10" s="812">
        <f>W11+W12</f>
        <v>3209</v>
      </c>
      <c r="X10" s="804">
        <f aca="true" t="shared" si="6" ref="X10:X15">W10/V10*100</f>
        <v>82.05062643825109</v>
      </c>
      <c r="Y10" s="811">
        <f>Y11+Y12</f>
        <v>4111</v>
      </c>
      <c r="Z10" s="812">
        <f>Z11+Z12</f>
        <v>3384</v>
      </c>
      <c r="AA10" s="804">
        <f aca="true" t="shared" si="7" ref="AA10:AA15">Z10/Y10*100</f>
        <v>82.31573826319631</v>
      </c>
      <c r="AB10" s="811">
        <f>AB11+AB12</f>
        <v>4734</v>
      </c>
      <c r="AC10" s="812">
        <f>AC11+AC12</f>
        <v>4007</v>
      </c>
      <c r="AD10" s="804">
        <f aca="true" t="shared" si="8" ref="AD10:AD15">AC10/AB10*100</f>
        <v>84.64300802703845</v>
      </c>
      <c r="AE10" s="797"/>
      <c r="AF10" s="782"/>
      <c r="AG10" s="782"/>
      <c r="AH10" s="782"/>
    </row>
    <row r="11" spans="1:34" ht="16.5" customHeight="1">
      <c r="A11" s="729" t="s">
        <v>199</v>
      </c>
      <c r="B11" s="751"/>
      <c r="C11" s="801" t="s">
        <v>39</v>
      </c>
      <c r="D11" s="802">
        <v>1453</v>
      </c>
      <c r="E11" s="803">
        <v>1024</v>
      </c>
      <c r="F11" s="804">
        <f t="shared" si="0"/>
        <v>70.474879559532</v>
      </c>
      <c r="G11" s="802">
        <v>1577</v>
      </c>
      <c r="H11" s="803">
        <v>1171</v>
      </c>
      <c r="I11" s="804">
        <f t="shared" si="1"/>
        <v>74.25491439441979</v>
      </c>
      <c r="J11" s="802">
        <v>1685</v>
      </c>
      <c r="K11" s="803">
        <v>1168</v>
      </c>
      <c r="L11" s="807">
        <f t="shared" si="2"/>
        <v>69.31750741839762</v>
      </c>
      <c r="M11" s="802">
        <v>1748</v>
      </c>
      <c r="N11" s="803">
        <v>1286</v>
      </c>
      <c r="O11" s="807">
        <f t="shared" si="3"/>
        <v>73.56979405034325</v>
      </c>
      <c r="P11" s="811">
        <v>1734</v>
      </c>
      <c r="Q11" s="812">
        <v>1353</v>
      </c>
      <c r="R11" s="807">
        <f t="shared" si="4"/>
        <v>78.02768166089965</v>
      </c>
      <c r="S11" s="811">
        <v>1873</v>
      </c>
      <c r="T11" s="812">
        <v>1461</v>
      </c>
      <c r="U11" s="804">
        <f t="shared" si="5"/>
        <v>78.00320341697811</v>
      </c>
      <c r="V11" s="811">
        <v>1866</v>
      </c>
      <c r="W11" s="812">
        <v>1410</v>
      </c>
      <c r="X11" s="804">
        <f t="shared" si="6"/>
        <v>75.56270096463022</v>
      </c>
      <c r="Y11" s="811">
        <v>1911</v>
      </c>
      <c r="Z11" s="812">
        <v>1481</v>
      </c>
      <c r="AA11" s="804">
        <f t="shared" si="7"/>
        <v>77.49869178440608</v>
      </c>
      <c r="AB11" s="811">
        <v>1991</v>
      </c>
      <c r="AC11" s="812">
        <v>1602</v>
      </c>
      <c r="AD11" s="804">
        <f t="shared" si="8"/>
        <v>80.46207935710699</v>
      </c>
      <c r="AE11" s="797"/>
      <c r="AF11" s="782"/>
      <c r="AG11" s="782"/>
      <c r="AH11" s="782"/>
    </row>
    <row r="12" spans="1:34" ht="16.5" customHeight="1">
      <c r="A12" s="732"/>
      <c r="B12" s="747" t="s">
        <v>97</v>
      </c>
      <c r="C12" s="813" t="s">
        <v>40</v>
      </c>
      <c r="D12" s="814">
        <v>1523</v>
      </c>
      <c r="E12" s="815">
        <v>1203</v>
      </c>
      <c r="F12" s="823">
        <f t="shared" si="0"/>
        <v>78.98883782009193</v>
      </c>
      <c r="G12" s="814">
        <v>1625</v>
      </c>
      <c r="H12" s="815">
        <v>1314</v>
      </c>
      <c r="I12" s="823">
        <f t="shared" si="1"/>
        <v>80.86153846153846</v>
      </c>
      <c r="J12" s="814">
        <v>1732</v>
      </c>
      <c r="K12" s="815">
        <v>1409</v>
      </c>
      <c r="L12" s="822">
        <f t="shared" si="2"/>
        <v>81.35103926096998</v>
      </c>
      <c r="M12" s="814">
        <v>1706</v>
      </c>
      <c r="N12" s="815">
        <v>1437</v>
      </c>
      <c r="O12" s="822">
        <f t="shared" si="3"/>
        <v>84.23212192262602</v>
      </c>
      <c r="P12" s="820">
        <v>1800</v>
      </c>
      <c r="Q12" s="821">
        <v>1573</v>
      </c>
      <c r="R12" s="822">
        <f t="shared" si="4"/>
        <v>87.3888888888889</v>
      </c>
      <c r="S12" s="820">
        <v>1892</v>
      </c>
      <c r="T12" s="821">
        <v>1695</v>
      </c>
      <c r="U12" s="823">
        <f t="shared" si="5"/>
        <v>89.58773784355179</v>
      </c>
      <c r="V12" s="820">
        <v>2045</v>
      </c>
      <c r="W12" s="821">
        <v>1799</v>
      </c>
      <c r="X12" s="823">
        <f t="shared" si="6"/>
        <v>87.97066014669926</v>
      </c>
      <c r="Y12" s="820">
        <v>2200</v>
      </c>
      <c r="Z12" s="821">
        <v>1903</v>
      </c>
      <c r="AA12" s="823">
        <f t="shared" si="7"/>
        <v>86.5</v>
      </c>
      <c r="AB12" s="820">
        <v>2743</v>
      </c>
      <c r="AC12" s="821">
        <v>2405</v>
      </c>
      <c r="AD12" s="823">
        <f t="shared" si="8"/>
        <v>87.67772511848341</v>
      </c>
      <c r="AE12" s="797"/>
      <c r="AF12" s="782"/>
      <c r="AG12" s="782"/>
      <c r="AH12" s="782"/>
    </row>
    <row r="13" spans="1:34" ht="16.5" customHeight="1">
      <c r="A13" s="825"/>
      <c r="B13" s="751"/>
      <c r="C13" s="801" t="s">
        <v>5</v>
      </c>
      <c r="D13" s="802">
        <f>D14+D15</f>
        <v>3820</v>
      </c>
      <c r="E13" s="803">
        <f>E14+E15</f>
        <v>2747</v>
      </c>
      <c r="F13" s="804">
        <f t="shared" si="0"/>
        <v>71.91099476439791</v>
      </c>
      <c r="G13" s="802">
        <f>G14+G15</f>
        <v>3643</v>
      </c>
      <c r="H13" s="803">
        <f>H14+H15</f>
        <v>2704</v>
      </c>
      <c r="I13" s="804">
        <f t="shared" si="1"/>
        <v>74.22454021410925</v>
      </c>
      <c r="J13" s="802">
        <f>J14+J15</f>
        <v>3788</v>
      </c>
      <c r="K13" s="803">
        <f>K14+K15</f>
        <v>2834</v>
      </c>
      <c r="L13" s="804">
        <f t="shared" si="2"/>
        <v>74.81520591341078</v>
      </c>
      <c r="M13" s="802">
        <f>M14+M15</f>
        <v>3429</v>
      </c>
      <c r="N13" s="803">
        <f>N14+N15</f>
        <v>2522</v>
      </c>
      <c r="O13" s="807">
        <f t="shared" si="3"/>
        <v>73.54913969087198</v>
      </c>
      <c r="P13" s="802">
        <f>P14+P15</f>
        <v>3740</v>
      </c>
      <c r="Q13" s="803">
        <f>Q14+Q15</f>
        <v>2760</v>
      </c>
      <c r="R13" s="807">
        <f t="shared" si="4"/>
        <v>73.79679144385027</v>
      </c>
      <c r="S13" s="802">
        <f>S14+S15</f>
        <v>4275</v>
      </c>
      <c r="T13" s="803">
        <f>T14+T15</f>
        <v>3220</v>
      </c>
      <c r="U13" s="804">
        <f t="shared" si="5"/>
        <v>75.3216374269006</v>
      </c>
      <c r="V13" s="887">
        <f>V14+V15</f>
        <v>4606</v>
      </c>
      <c r="W13" s="889">
        <f>W14+W15</f>
        <v>3413</v>
      </c>
      <c r="X13" s="804">
        <f t="shared" si="6"/>
        <v>74.09900130264872</v>
      </c>
      <c r="Y13" s="887">
        <f>Y14+Y15</f>
        <v>4796</v>
      </c>
      <c r="Z13" s="889">
        <f>Z14+Z15</f>
        <v>3627</v>
      </c>
      <c r="AA13" s="804">
        <f t="shared" si="7"/>
        <v>75.6255212677231</v>
      </c>
      <c r="AB13" s="887">
        <f>AB14+AB15</f>
        <v>4756</v>
      </c>
      <c r="AC13" s="889">
        <f>AC14+AC15</f>
        <v>3468</v>
      </c>
      <c r="AD13" s="804">
        <f t="shared" si="8"/>
        <v>72.91841883936081</v>
      </c>
      <c r="AE13" s="797"/>
      <c r="AF13" s="782"/>
      <c r="AG13" s="782"/>
      <c r="AH13" s="782"/>
    </row>
    <row r="14" spans="1:34" ht="16.5" customHeight="1">
      <c r="A14" s="729" t="s">
        <v>200</v>
      </c>
      <c r="B14" s="730"/>
      <c r="C14" s="801" t="s">
        <v>39</v>
      </c>
      <c r="D14" s="802">
        <f>D8-D11</f>
        <v>1728</v>
      </c>
      <c r="E14" s="803">
        <f>E8-E11</f>
        <v>1204</v>
      </c>
      <c r="F14" s="804">
        <f t="shared" si="0"/>
        <v>69.67592592592592</v>
      </c>
      <c r="G14" s="802">
        <f>G8-G11</f>
        <v>1586</v>
      </c>
      <c r="H14" s="803">
        <f>H8-H11</f>
        <v>1167</v>
      </c>
      <c r="I14" s="804">
        <f t="shared" si="1"/>
        <v>73.58133669609079</v>
      </c>
      <c r="J14" s="802">
        <f>J8-J11</f>
        <v>1622</v>
      </c>
      <c r="K14" s="803">
        <f>K8-K11</f>
        <v>1178</v>
      </c>
      <c r="L14" s="804">
        <f t="shared" si="2"/>
        <v>72.62638717632552</v>
      </c>
      <c r="M14" s="802">
        <f>M8-M11</f>
        <v>1461</v>
      </c>
      <c r="N14" s="803">
        <f>N8-N11</f>
        <v>1042</v>
      </c>
      <c r="O14" s="807">
        <f t="shared" si="3"/>
        <v>71.32101300479124</v>
      </c>
      <c r="P14" s="802">
        <f>P8-P11</f>
        <v>1567</v>
      </c>
      <c r="Q14" s="803">
        <f>Q8-Q11</f>
        <v>1077</v>
      </c>
      <c r="R14" s="807">
        <f t="shared" si="4"/>
        <v>68.73005743458839</v>
      </c>
      <c r="S14" s="802">
        <f>S8-S11</f>
        <v>1825</v>
      </c>
      <c r="T14" s="803">
        <f>T8-T11</f>
        <v>1308</v>
      </c>
      <c r="U14" s="804">
        <f t="shared" si="5"/>
        <v>71.67123287671234</v>
      </c>
      <c r="V14" s="887">
        <f>V8-V11</f>
        <v>2030</v>
      </c>
      <c r="W14" s="889">
        <f>W8-W11</f>
        <v>1432</v>
      </c>
      <c r="X14" s="804">
        <f t="shared" si="6"/>
        <v>70.54187192118226</v>
      </c>
      <c r="Y14" s="887">
        <f>Y8-Y11</f>
        <v>2088</v>
      </c>
      <c r="Z14" s="889">
        <f>Z8-Z11</f>
        <v>1495</v>
      </c>
      <c r="AA14" s="804">
        <f t="shared" si="7"/>
        <v>71.59961685823755</v>
      </c>
      <c r="AB14" s="887">
        <f>AB8-AB11</f>
        <v>2043</v>
      </c>
      <c r="AC14" s="889">
        <f>AC8-AC11</f>
        <v>1393</v>
      </c>
      <c r="AD14" s="804">
        <f t="shared" si="8"/>
        <v>68.18404307391091</v>
      </c>
      <c r="AE14" s="797"/>
      <c r="AF14" s="782"/>
      <c r="AG14" s="782"/>
      <c r="AH14" s="782"/>
    </row>
    <row r="15" spans="1:34" ht="16.5" customHeight="1">
      <c r="A15" s="732" t="s">
        <v>97</v>
      </c>
      <c r="B15" s="733"/>
      <c r="C15" s="813" t="s">
        <v>40</v>
      </c>
      <c r="D15" s="814">
        <f>D9-D12</f>
        <v>2092</v>
      </c>
      <c r="E15" s="815">
        <f>E9-E12</f>
        <v>1543</v>
      </c>
      <c r="F15" s="816">
        <f t="shared" si="0"/>
        <v>73.75717017208413</v>
      </c>
      <c r="G15" s="814">
        <f>G9-G12</f>
        <v>2057</v>
      </c>
      <c r="H15" s="815">
        <f>H9-H12</f>
        <v>1537</v>
      </c>
      <c r="I15" s="816">
        <f t="shared" si="1"/>
        <v>74.72046669907633</v>
      </c>
      <c r="J15" s="814">
        <f>J9-J12</f>
        <v>2166</v>
      </c>
      <c r="K15" s="815">
        <f>K9-K12</f>
        <v>1656</v>
      </c>
      <c r="L15" s="816">
        <f t="shared" si="2"/>
        <v>76.45429362880887</v>
      </c>
      <c r="M15" s="814">
        <f>M9-M12</f>
        <v>1968</v>
      </c>
      <c r="N15" s="815">
        <f>N9-N12</f>
        <v>1480</v>
      </c>
      <c r="O15" s="819">
        <f t="shared" si="3"/>
        <v>75.20325203252033</v>
      </c>
      <c r="P15" s="814">
        <f>P9-P12</f>
        <v>2173</v>
      </c>
      <c r="Q15" s="815">
        <f>Q9-Q12</f>
        <v>1683</v>
      </c>
      <c r="R15" s="819">
        <f t="shared" si="4"/>
        <v>77.45052922227336</v>
      </c>
      <c r="S15" s="814">
        <f>S9-S12</f>
        <v>2450</v>
      </c>
      <c r="T15" s="815">
        <f>T9-T12</f>
        <v>1912</v>
      </c>
      <c r="U15" s="816">
        <f t="shared" si="5"/>
        <v>78.04081632653062</v>
      </c>
      <c r="V15" s="888">
        <f>V9-V12</f>
        <v>2576</v>
      </c>
      <c r="W15" s="890">
        <f>W9-W12</f>
        <v>1981</v>
      </c>
      <c r="X15" s="816">
        <f t="shared" si="6"/>
        <v>76.90217391304348</v>
      </c>
      <c r="Y15" s="888">
        <f>Y9-Y12</f>
        <v>2708</v>
      </c>
      <c r="Z15" s="890">
        <f>Z9-Z12</f>
        <v>2132</v>
      </c>
      <c r="AA15" s="816">
        <f t="shared" si="7"/>
        <v>78.72968980797637</v>
      </c>
      <c r="AB15" s="888">
        <f>AB9-AB12</f>
        <v>2713</v>
      </c>
      <c r="AC15" s="890">
        <f>AC9-AC12</f>
        <v>2075</v>
      </c>
      <c r="AD15" s="816">
        <f t="shared" si="8"/>
        <v>76.48359749354957</v>
      </c>
      <c r="AE15" s="797"/>
      <c r="AF15" s="782"/>
      <c r="AG15" s="782"/>
      <c r="AH15" s="782"/>
    </row>
    <row r="16" spans="1:34" ht="22.5" customHeight="1">
      <c r="A16" s="1568" t="s">
        <v>2</v>
      </c>
      <c r="B16" s="1569"/>
      <c r="C16" s="1569"/>
      <c r="D16" s="1569"/>
      <c r="E16" s="1569"/>
      <c r="F16" s="1569"/>
      <c r="G16" s="1569"/>
      <c r="H16" s="1569"/>
      <c r="I16" s="1569"/>
      <c r="J16" s="1569"/>
      <c r="K16" s="1569"/>
      <c r="L16" s="1569"/>
      <c r="M16" s="1569"/>
      <c r="N16" s="1569"/>
      <c r="O16" s="1569"/>
      <c r="P16" s="1569"/>
      <c r="Q16" s="1569"/>
      <c r="R16" s="1569"/>
      <c r="S16" s="1569"/>
      <c r="T16" s="1569"/>
      <c r="U16" s="1569"/>
      <c r="V16" s="1569"/>
      <c r="W16" s="1569"/>
      <c r="X16" s="1569"/>
      <c r="Y16" s="1569"/>
      <c r="Z16" s="1569"/>
      <c r="AA16" s="1569"/>
      <c r="AB16" s="1569"/>
      <c r="AC16" s="1569"/>
      <c r="AD16" s="1570"/>
      <c r="AE16" s="797"/>
      <c r="AF16" s="782"/>
      <c r="AG16" s="782"/>
      <c r="AH16" s="782"/>
    </row>
    <row r="17" spans="1:34" ht="16.5" customHeight="1">
      <c r="A17" s="757"/>
      <c r="B17" s="826"/>
      <c r="C17" s="827" t="s">
        <v>5</v>
      </c>
      <c r="D17" s="803">
        <f aca="true" t="shared" si="9" ref="D17:E19">D7-D27</f>
        <v>6648</v>
      </c>
      <c r="E17" s="803">
        <f t="shared" si="9"/>
        <v>4882</v>
      </c>
      <c r="F17" s="804">
        <f aca="true" t="shared" si="10" ref="F17:F29">E17/D17*100</f>
        <v>73.43561973525873</v>
      </c>
      <c r="G17" s="803">
        <f aca="true" t="shared" si="11" ref="G17:H19">G7-G27</f>
        <v>6668</v>
      </c>
      <c r="H17" s="803">
        <f t="shared" si="11"/>
        <v>5085</v>
      </c>
      <c r="I17" s="804">
        <f aca="true" t="shared" si="12" ref="I17:I29">H17/G17*100</f>
        <v>76.25974805038992</v>
      </c>
      <c r="J17" s="803">
        <f>J18+J19</f>
        <v>7024</v>
      </c>
      <c r="K17" s="803">
        <f>K18+K19</f>
        <v>5310</v>
      </c>
      <c r="L17" s="807">
        <f aca="true" t="shared" si="13" ref="L17:L29">K17/J17*100</f>
        <v>75.59794988610479</v>
      </c>
      <c r="M17" s="802">
        <f>M18+M19</f>
        <v>6683</v>
      </c>
      <c r="N17" s="803">
        <f>N18+N19</f>
        <v>5136</v>
      </c>
      <c r="O17" s="807">
        <v>76.8</v>
      </c>
      <c r="P17" s="808">
        <f>P18+P19</f>
        <v>7106</v>
      </c>
      <c r="Q17" s="809">
        <f>Q18+Q19</f>
        <v>5555</v>
      </c>
      <c r="R17" s="807">
        <f>Q17/P17*100</f>
        <v>78.1733746130031</v>
      </c>
      <c r="S17" s="808">
        <f>S18+S19</f>
        <v>7849</v>
      </c>
      <c r="T17" s="809">
        <f>T18+T19</f>
        <v>6234</v>
      </c>
      <c r="U17" s="810">
        <f>T17/S17*100</f>
        <v>79.4241304624793</v>
      </c>
      <c r="V17" s="808">
        <f>V18+V19</f>
        <v>8290</v>
      </c>
      <c r="W17" s="809">
        <f>W18+W19</f>
        <v>6456</v>
      </c>
      <c r="X17" s="810">
        <f>W17/V17*100</f>
        <v>77.87696019300363</v>
      </c>
      <c r="Y17" s="808">
        <f>Y18+Y19</f>
        <v>8658</v>
      </c>
      <c r="Z17" s="809">
        <f>Z18+Z19</f>
        <v>6827</v>
      </c>
      <c r="AA17" s="810">
        <f>Z17/Y17*100</f>
        <v>78.85192885192886</v>
      </c>
      <c r="AB17" s="808">
        <f>AB18+AB19</f>
        <v>9222</v>
      </c>
      <c r="AC17" s="809">
        <f>AC18+AC19</f>
        <v>7280</v>
      </c>
      <c r="AD17" s="810">
        <f>AC17/AB17*100</f>
        <v>78.94166124484927</v>
      </c>
      <c r="AE17" s="797"/>
      <c r="AF17" s="782"/>
      <c r="AG17" s="782"/>
      <c r="AH17" s="782"/>
    </row>
    <row r="18" spans="1:34" ht="16.5" customHeight="1">
      <c r="A18" s="828" t="s">
        <v>198</v>
      </c>
      <c r="B18" s="751"/>
      <c r="C18" s="801" t="s">
        <v>39</v>
      </c>
      <c r="D18" s="803">
        <f t="shared" si="9"/>
        <v>3104</v>
      </c>
      <c r="E18" s="803">
        <f t="shared" si="9"/>
        <v>2176</v>
      </c>
      <c r="F18" s="804">
        <f t="shared" si="10"/>
        <v>70.10309278350515</v>
      </c>
      <c r="G18" s="803">
        <f t="shared" si="11"/>
        <v>3077</v>
      </c>
      <c r="H18" s="803">
        <f t="shared" si="11"/>
        <v>2287</v>
      </c>
      <c r="I18" s="804">
        <f t="shared" si="12"/>
        <v>74.32564185895353</v>
      </c>
      <c r="J18" s="803">
        <f>J21+J24</f>
        <v>3216</v>
      </c>
      <c r="K18" s="803">
        <f>K21+K24</f>
        <v>2296</v>
      </c>
      <c r="L18" s="807">
        <f t="shared" si="13"/>
        <v>71.39303482587064</v>
      </c>
      <c r="M18" s="802">
        <f>M21+M24</f>
        <v>3107</v>
      </c>
      <c r="N18" s="803">
        <f>N21+N24</f>
        <v>2268</v>
      </c>
      <c r="O18" s="807">
        <f aca="true" t="shared" si="14" ref="O18:O25">N18/M18*100</f>
        <v>72.99645960733827</v>
      </c>
      <c r="P18" s="811">
        <f>P21+P24</f>
        <v>3225</v>
      </c>
      <c r="Q18" s="812">
        <f>Q21+Q24</f>
        <v>2375</v>
      </c>
      <c r="R18" s="807">
        <f>Q18/P18*100</f>
        <v>73.64341085271317</v>
      </c>
      <c r="S18" s="811">
        <f>S21+S24</f>
        <v>3618</v>
      </c>
      <c r="T18" s="812">
        <f>T21+T24</f>
        <v>2709</v>
      </c>
      <c r="U18" s="804">
        <f>T18/S18*100</f>
        <v>74.87562189054727</v>
      </c>
      <c r="V18" s="811">
        <f>V21+V24</f>
        <v>3796</v>
      </c>
      <c r="W18" s="812">
        <f>W21+W24</f>
        <v>2764</v>
      </c>
      <c r="X18" s="804">
        <f>W18/V18*100</f>
        <v>72.81348788198103</v>
      </c>
      <c r="Y18" s="811">
        <f>Y21+Y24</f>
        <v>3884</v>
      </c>
      <c r="Z18" s="812">
        <f>Z21+Z24</f>
        <v>2896</v>
      </c>
      <c r="AA18" s="804">
        <f>Z18/Y18*100</f>
        <v>74.56230690010298</v>
      </c>
      <c r="AB18" s="811">
        <f>AB21+AB24</f>
        <v>3916</v>
      </c>
      <c r="AC18" s="812">
        <f>AC21+AC24</f>
        <v>2915</v>
      </c>
      <c r="AD18" s="804">
        <f>AC18/AB18*100</f>
        <v>74.43820224719101</v>
      </c>
      <c r="AE18" s="797"/>
      <c r="AF18" s="782"/>
      <c r="AG18" s="782"/>
      <c r="AH18" s="782"/>
    </row>
    <row r="19" spans="1:34" ht="16.5" customHeight="1">
      <c r="A19" s="732"/>
      <c r="B19" s="747" t="s">
        <v>97</v>
      </c>
      <c r="C19" s="813" t="s">
        <v>40</v>
      </c>
      <c r="D19" s="815">
        <f t="shared" si="9"/>
        <v>3544</v>
      </c>
      <c r="E19" s="815">
        <f t="shared" si="9"/>
        <v>2706</v>
      </c>
      <c r="F19" s="823">
        <f t="shared" si="10"/>
        <v>76.35440180586907</v>
      </c>
      <c r="G19" s="815">
        <f t="shared" si="11"/>
        <v>3591</v>
      </c>
      <c r="H19" s="815">
        <f t="shared" si="11"/>
        <v>2798</v>
      </c>
      <c r="I19" s="823">
        <f t="shared" si="12"/>
        <v>77.91701475912002</v>
      </c>
      <c r="J19" s="817">
        <f>J22+J25</f>
        <v>3808</v>
      </c>
      <c r="K19" s="815">
        <f>K22+K25</f>
        <v>3014</v>
      </c>
      <c r="L19" s="822">
        <f t="shared" si="13"/>
        <v>79.14915966386555</v>
      </c>
      <c r="M19" s="814">
        <f>M22+M25</f>
        <v>3576</v>
      </c>
      <c r="N19" s="815">
        <f>N22+N25</f>
        <v>2868</v>
      </c>
      <c r="O19" s="822">
        <f t="shared" si="14"/>
        <v>80.20134228187919</v>
      </c>
      <c r="P19" s="820">
        <f>P22+P25</f>
        <v>3881</v>
      </c>
      <c r="Q19" s="821">
        <f>Q22+Q25</f>
        <v>3180</v>
      </c>
      <c r="R19" s="822">
        <f>Q19/P19*100</f>
        <v>81.93764493687195</v>
      </c>
      <c r="S19" s="820">
        <f>S22+S25</f>
        <v>4231</v>
      </c>
      <c r="T19" s="821">
        <f>T22+T25</f>
        <v>3525</v>
      </c>
      <c r="U19" s="823">
        <f>T19/S19*100</f>
        <v>83.31363743795794</v>
      </c>
      <c r="V19" s="820">
        <f>V22+V25</f>
        <v>4494</v>
      </c>
      <c r="W19" s="821">
        <f>W22+W25</f>
        <v>3692</v>
      </c>
      <c r="X19" s="823">
        <f>W19/V19*100</f>
        <v>82.15398308856253</v>
      </c>
      <c r="Y19" s="820">
        <f>Y22+Y25</f>
        <v>4774</v>
      </c>
      <c r="Z19" s="821">
        <f>Z22+Z25</f>
        <v>3931</v>
      </c>
      <c r="AA19" s="823">
        <f>Z19/Y19*100</f>
        <v>82.3418516966904</v>
      </c>
      <c r="AB19" s="820">
        <f>AB22+AB25</f>
        <v>5306</v>
      </c>
      <c r="AC19" s="821">
        <f>AC22+AC25</f>
        <v>4365</v>
      </c>
      <c r="AD19" s="823">
        <f>AC19/AB19*100</f>
        <v>82.26535996984545</v>
      </c>
      <c r="AE19" s="797"/>
      <c r="AF19" s="782"/>
      <c r="AG19" s="782"/>
      <c r="AH19" s="782"/>
    </row>
    <row r="20" spans="1:34" ht="16.5" customHeight="1">
      <c r="A20" s="824"/>
      <c r="B20" s="740"/>
      <c r="C20" s="801" t="s">
        <v>5</v>
      </c>
      <c r="D20" s="802">
        <v>2976</v>
      </c>
      <c r="E20" s="803">
        <v>2227</v>
      </c>
      <c r="F20" s="804">
        <f t="shared" si="10"/>
        <v>74.83198924731182</v>
      </c>
      <c r="G20" s="802">
        <v>3202</v>
      </c>
      <c r="H20" s="803">
        <v>2485</v>
      </c>
      <c r="I20" s="804">
        <f t="shared" si="12"/>
        <v>77.60774515927545</v>
      </c>
      <c r="J20" s="805">
        <f>J21+J22</f>
        <v>3417</v>
      </c>
      <c r="K20" s="806">
        <f>K21+K22</f>
        <v>2577</v>
      </c>
      <c r="L20" s="807">
        <f t="shared" si="13"/>
        <v>75.41703248463566</v>
      </c>
      <c r="M20" s="802">
        <f>M21+M22</f>
        <v>3454</v>
      </c>
      <c r="N20" s="806">
        <f>N21+N22</f>
        <v>2723</v>
      </c>
      <c r="O20" s="807">
        <f t="shared" si="14"/>
        <v>78.8361320208454</v>
      </c>
      <c r="P20" s="811">
        <f>P21+P22</f>
        <v>3534</v>
      </c>
      <c r="Q20" s="812">
        <f>Q21+Q22</f>
        <v>2926</v>
      </c>
      <c r="R20" s="807">
        <f aca="true" t="shared" si="15" ref="R20:R25">Q20/P20*100</f>
        <v>82.79569892473118</v>
      </c>
      <c r="S20" s="811">
        <f>S21+S22</f>
        <v>3765</v>
      </c>
      <c r="T20" s="812">
        <f>T21+T22</f>
        <v>3156</v>
      </c>
      <c r="U20" s="804">
        <f aca="true" t="shared" si="16" ref="U20:U25">T20/S20*100</f>
        <v>83.82470119521912</v>
      </c>
      <c r="V20" s="811">
        <f>V21+V22</f>
        <v>3911</v>
      </c>
      <c r="W20" s="812">
        <f>W21+W22</f>
        <v>3209</v>
      </c>
      <c r="X20" s="804">
        <f aca="true" t="shared" si="17" ref="X20:X25">W20/V20*100</f>
        <v>82.05062643825109</v>
      </c>
      <c r="Y20" s="811">
        <f>Y21+Y22</f>
        <v>4111</v>
      </c>
      <c r="Z20" s="812">
        <f>Z21+Z22</f>
        <v>3384</v>
      </c>
      <c r="AA20" s="804">
        <f aca="true" t="shared" si="18" ref="AA20:AA25">Z20/Y20*100</f>
        <v>82.31573826319631</v>
      </c>
      <c r="AB20" s="811">
        <f>AB21+AB22</f>
        <v>4734</v>
      </c>
      <c r="AC20" s="812">
        <f>AC21+AC22</f>
        <v>4007</v>
      </c>
      <c r="AD20" s="804">
        <f aca="true" t="shared" si="19" ref="AD20:AD25">AC20/AB20*100</f>
        <v>84.64300802703845</v>
      </c>
      <c r="AE20" s="797"/>
      <c r="AF20" s="782"/>
      <c r="AG20" s="782"/>
      <c r="AH20" s="782"/>
    </row>
    <row r="21" spans="1:34" ht="16.5" customHeight="1">
      <c r="A21" s="729" t="s">
        <v>199</v>
      </c>
      <c r="B21" s="751"/>
      <c r="C21" s="801" t="s">
        <v>39</v>
      </c>
      <c r="D21" s="802">
        <v>1453</v>
      </c>
      <c r="E21" s="803">
        <v>1024</v>
      </c>
      <c r="F21" s="804">
        <f t="shared" si="10"/>
        <v>70.474879559532</v>
      </c>
      <c r="G21" s="802">
        <v>1577</v>
      </c>
      <c r="H21" s="803">
        <v>1171</v>
      </c>
      <c r="I21" s="804">
        <f t="shared" si="12"/>
        <v>74.25491439441979</v>
      </c>
      <c r="J21" s="802">
        <v>1685</v>
      </c>
      <c r="K21" s="803">
        <v>1168</v>
      </c>
      <c r="L21" s="807">
        <f t="shared" si="13"/>
        <v>69.31750741839762</v>
      </c>
      <c r="M21" s="802">
        <v>1748</v>
      </c>
      <c r="N21" s="803">
        <v>1286</v>
      </c>
      <c r="O21" s="807">
        <f t="shared" si="14"/>
        <v>73.56979405034325</v>
      </c>
      <c r="P21" s="811">
        <v>1734</v>
      </c>
      <c r="Q21" s="812">
        <v>1353</v>
      </c>
      <c r="R21" s="807">
        <f t="shared" si="15"/>
        <v>78.02768166089965</v>
      </c>
      <c r="S21" s="811">
        <v>1873</v>
      </c>
      <c r="T21" s="812">
        <v>1461</v>
      </c>
      <c r="U21" s="804">
        <f t="shared" si="16"/>
        <v>78.00320341697811</v>
      </c>
      <c r="V21" s="811">
        <v>1866</v>
      </c>
      <c r="W21" s="812">
        <v>1410</v>
      </c>
      <c r="X21" s="804">
        <f t="shared" si="17"/>
        <v>75.56270096463022</v>
      </c>
      <c r="Y21" s="811">
        <v>1911</v>
      </c>
      <c r="Z21" s="812">
        <v>1481</v>
      </c>
      <c r="AA21" s="804">
        <f t="shared" si="18"/>
        <v>77.49869178440608</v>
      </c>
      <c r="AB21" s="811">
        <v>1991</v>
      </c>
      <c r="AC21" s="812">
        <v>1602</v>
      </c>
      <c r="AD21" s="804">
        <f t="shared" si="19"/>
        <v>80.46207935710699</v>
      </c>
      <c r="AE21" s="797"/>
      <c r="AF21" s="782"/>
      <c r="AG21" s="782"/>
      <c r="AH21" s="782"/>
    </row>
    <row r="22" spans="1:34" ht="16.5" customHeight="1">
      <c r="A22" s="732"/>
      <c r="B22" s="747" t="s">
        <v>97</v>
      </c>
      <c r="C22" s="813" t="s">
        <v>40</v>
      </c>
      <c r="D22" s="814">
        <v>1523</v>
      </c>
      <c r="E22" s="815">
        <v>1203</v>
      </c>
      <c r="F22" s="823">
        <f t="shared" si="10"/>
        <v>78.98883782009193</v>
      </c>
      <c r="G22" s="814">
        <v>1625</v>
      </c>
      <c r="H22" s="815">
        <v>1314</v>
      </c>
      <c r="I22" s="823">
        <f t="shared" si="12"/>
        <v>80.86153846153846</v>
      </c>
      <c r="J22" s="814">
        <v>1732</v>
      </c>
      <c r="K22" s="815">
        <v>1409</v>
      </c>
      <c r="L22" s="822">
        <f t="shared" si="13"/>
        <v>81.35103926096998</v>
      </c>
      <c r="M22" s="814">
        <v>1706</v>
      </c>
      <c r="N22" s="815">
        <v>1437</v>
      </c>
      <c r="O22" s="822">
        <f t="shared" si="14"/>
        <v>84.23212192262602</v>
      </c>
      <c r="P22" s="820">
        <v>1800</v>
      </c>
      <c r="Q22" s="821">
        <v>1573</v>
      </c>
      <c r="R22" s="822">
        <f t="shared" si="15"/>
        <v>87.3888888888889</v>
      </c>
      <c r="S22" s="820">
        <v>1892</v>
      </c>
      <c r="T22" s="821">
        <v>1695</v>
      </c>
      <c r="U22" s="823">
        <f t="shared" si="16"/>
        <v>89.58773784355179</v>
      </c>
      <c r="V22" s="820">
        <v>2045</v>
      </c>
      <c r="W22" s="821">
        <v>1799</v>
      </c>
      <c r="X22" s="823">
        <f t="shared" si="17"/>
        <v>87.97066014669926</v>
      </c>
      <c r="Y22" s="820">
        <v>2200</v>
      </c>
      <c r="Z22" s="821">
        <v>1903</v>
      </c>
      <c r="AA22" s="823">
        <f t="shared" si="18"/>
        <v>86.5</v>
      </c>
      <c r="AB22" s="820">
        <v>2743</v>
      </c>
      <c r="AC22" s="821">
        <v>2405</v>
      </c>
      <c r="AD22" s="823">
        <f t="shared" si="19"/>
        <v>87.67772511848341</v>
      </c>
      <c r="AE22" s="797"/>
      <c r="AF22" s="782"/>
      <c r="AG22" s="782"/>
      <c r="AH22" s="782"/>
    </row>
    <row r="23" spans="1:34" ht="16.5" customHeight="1">
      <c r="A23" s="825"/>
      <c r="B23" s="751"/>
      <c r="C23" s="801" t="s">
        <v>5</v>
      </c>
      <c r="D23" s="802">
        <v>3672</v>
      </c>
      <c r="E23" s="803">
        <v>2655</v>
      </c>
      <c r="F23" s="804">
        <f t="shared" si="10"/>
        <v>72.30392156862744</v>
      </c>
      <c r="G23" s="802">
        <v>3466</v>
      </c>
      <c r="H23" s="803">
        <v>2600</v>
      </c>
      <c r="I23" s="804">
        <f t="shared" si="12"/>
        <v>75.01442585112522</v>
      </c>
      <c r="J23" s="805">
        <f>J24+J25</f>
        <v>3607</v>
      </c>
      <c r="K23" s="806">
        <f>K24+K25</f>
        <v>2733</v>
      </c>
      <c r="L23" s="807">
        <f t="shared" si="13"/>
        <v>75.76933739950097</v>
      </c>
      <c r="M23" s="802">
        <f>M24+M25</f>
        <v>3229</v>
      </c>
      <c r="N23" s="806">
        <f>N24+N25</f>
        <v>2413</v>
      </c>
      <c r="O23" s="807">
        <f t="shared" si="14"/>
        <v>74.7290182719108</v>
      </c>
      <c r="P23" s="811">
        <f>P24+P25</f>
        <v>3572</v>
      </c>
      <c r="Q23" s="812">
        <f>Q24+Q25</f>
        <v>2629</v>
      </c>
      <c r="R23" s="807">
        <f t="shared" si="15"/>
        <v>73.60022396416574</v>
      </c>
      <c r="S23" s="811">
        <f>S24+S25</f>
        <v>4084</v>
      </c>
      <c r="T23" s="812">
        <f>T24+T25</f>
        <v>3078</v>
      </c>
      <c r="U23" s="804">
        <f t="shared" si="16"/>
        <v>75.36728697355534</v>
      </c>
      <c r="V23" s="811">
        <f>V24+V25</f>
        <v>4379</v>
      </c>
      <c r="W23" s="812">
        <f>W24+W25</f>
        <v>3247</v>
      </c>
      <c r="X23" s="804">
        <f t="shared" si="17"/>
        <v>74.14934916647637</v>
      </c>
      <c r="Y23" s="811">
        <f>Y24+Y25</f>
        <v>4547</v>
      </c>
      <c r="Z23" s="812">
        <f>Z24+Z25</f>
        <v>3443</v>
      </c>
      <c r="AA23" s="804">
        <f t="shared" si="18"/>
        <v>75.72025511326149</v>
      </c>
      <c r="AB23" s="811">
        <f>AB24+AB25</f>
        <v>4488</v>
      </c>
      <c r="AC23" s="812">
        <f>AC24+AC25</f>
        <v>3273</v>
      </c>
      <c r="AD23" s="804">
        <f t="shared" si="19"/>
        <v>72.92780748663101</v>
      </c>
      <c r="AE23" s="797"/>
      <c r="AF23" s="782"/>
      <c r="AG23" s="782"/>
      <c r="AH23" s="782"/>
    </row>
    <row r="24" spans="1:34" ht="16.5" customHeight="1">
      <c r="A24" s="729" t="s">
        <v>200</v>
      </c>
      <c r="B24" s="730"/>
      <c r="C24" s="801" t="s">
        <v>39</v>
      </c>
      <c r="D24" s="802">
        <v>1651</v>
      </c>
      <c r="E24" s="803">
        <v>1152</v>
      </c>
      <c r="F24" s="804">
        <f t="shared" si="10"/>
        <v>69.77589339794065</v>
      </c>
      <c r="G24" s="802">
        <v>1500</v>
      </c>
      <c r="H24" s="803">
        <v>1116</v>
      </c>
      <c r="I24" s="804">
        <f t="shared" si="12"/>
        <v>74.4</v>
      </c>
      <c r="J24" s="802">
        <v>1531</v>
      </c>
      <c r="K24" s="803">
        <v>1128</v>
      </c>
      <c r="L24" s="807">
        <f t="shared" si="13"/>
        <v>73.6773350751143</v>
      </c>
      <c r="M24" s="802">
        <f>1345+14</f>
        <v>1359</v>
      </c>
      <c r="N24" s="803">
        <f>979+3</f>
        <v>982</v>
      </c>
      <c r="O24" s="807">
        <f t="shared" si="14"/>
        <v>72.25901398086827</v>
      </c>
      <c r="P24" s="811">
        <f>1422+69</f>
        <v>1491</v>
      </c>
      <c r="Q24" s="812">
        <f>998+24</f>
        <v>1022</v>
      </c>
      <c r="R24" s="807">
        <f t="shared" si="15"/>
        <v>68.54460093896714</v>
      </c>
      <c r="S24" s="811">
        <v>1745</v>
      </c>
      <c r="T24" s="812">
        <v>1248</v>
      </c>
      <c r="U24" s="804">
        <f t="shared" si="16"/>
        <v>71.51862464183381</v>
      </c>
      <c r="V24" s="811">
        <v>1930</v>
      </c>
      <c r="W24" s="812">
        <v>1354</v>
      </c>
      <c r="X24" s="804">
        <f t="shared" si="17"/>
        <v>70.15544041450778</v>
      </c>
      <c r="Y24" s="811">
        <v>1973</v>
      </c>
      <c r="Z24" s="812">
        <v>1415</v>
      </c>
      <c r="AA24" s="804">
        <f t="shared" si="18"/>
        <v>71.7181956411556</v>
      </c>
      <c r="AB24" s="811">
        <v>1925</v>
      </c>
      <c r="AC24" s="812">
        <v>1313</v>
      </c>
      <c r="AD24" s="804">
        <f t="shared" si="19"/>
        <v>68.20779220779221</v>
      </c>
      <c r="AE24" s="797"/>
      <c r="AF24" s="782"/>
      <c r="AG24" s="782"/>
      <c r="AH24" s="782"/>
    </row>
    <row r="25" spans="1:34" ht="16.5" customHeight="1">
      <c r="A25" s="732" t="s">
        <v>97</v>
      </c>
      <c r="B25" s="733"/>
      <c r="C25" s="813" t="s">
        <v>40</v>
      </c>
      <c r="D25" s="814">
        <v>2021</v>
      </c>
      <c r="E25" s="815">
        <v>1503</v>
      </c>
      <c r="F25" s="816">
        <f t="shared" si="10"/>
        <v>74.3691241959426</v>
      </c>
      <c r="G25" s="814">
        <v>1966</v>
      </c>
      <c r="H25" s="815">
        <v>1484</v>
      </c>
      <c r="I25" s="816">
        <f t="shared" si="12"/>
        <v>75.48321464903357</v>
      </c>
      <c r="J25" s="817">
        <v>2076</v>
      </c>
      <c r="K25" s="815">
        <v>1605</v>
      </c>
      <c r="L25" s="819">
        <f t="shared" si="13"/>
        <v>77.3121387283237</v>
      </c>
      <c r="M25" s="814">
        <f>1864+6</f>
        <v>1870</v>
      </c>
      <c r="N25" s="815">
        <f>1430+1</f>
        <v>1431</v>
      </c>
      <c r="O25" s="819">
        <f t="shared" si="14"/>
        <v>76.524064171123</v>
      </c>
      <c r="P25" s="820">
        <f>2040+41</f>
        <v>2081</v>
      </c>
      <c r="Q25" s="821">
        <f>1590+17</f>
        <v>1607</v>
      </c>
      <c r="R25" s="807">
        <f t="shared" si="15"/>
        <v>77.22248918789045</v>
      </c>
      <c r="S25" s="820">
        <v>2339</v>
      </c>
      <c r="T25" s="821">
        <v>1830</v>
      </c>
      <c r="U25" s="816">
        <f t="shared" si="16"/>
        <v>78.23856348867038</v>
      </c>
      <c r="V25" s="820">
        <v>2449</v>
      </c>
      <c r="W25" s="821">
        <v>1893</v>
      </c>
      <c r="X25" s="816">
        <f t="shared" si="17"/>
        <v>77.2968558595345</v>
      </c>
      <c r="Y25" s="820">
        <v>2574</v>
      </c>
      <c r="Z25" s="821">
        <v>2028</v>
      </c>
      <c r="AA25" s="816">
        <f t="shared" si="18"/>
        <v>78.78787878787878</v>
      </c>
      <c r="AB25" s="820">
        <v>2563</v>
      </c>
      <c r="AC25" s="821">
        <v>1960</v>
      </c>
      <c r="AD25" s="816">
        <f t="shared" si="19"/>
        <v>76.47288333983613</v>
      </c>
      <c r="AE25" s="797"/>
      <c r="AF25" s="782"/>
      <c r="AG25" s="782"/>
      <c r="AH25" s="782"/>
    </row>
    <row r="26" spans="1:34" ht="22.5" customHeight="1">
      <c r="A26" s="1572" t="s">
        <v>208</v>
      </c>
      <c r="B26" s="1573"/>
      <c r="C26" s="1573"/>
      <c r="D26" s="1573"/>
      <c r="E26" s="1573"/>
      <c r="F26" s="1573"/>
      <c r="G26" s="1573"/>
      <c r="H26" s="1573"/>
      <c r="I26" s="1573"/>
      <c r="J26" s="1573"/>
      <c r="K26" s="1573"/>
      <c r="L26" s="1573"/>
      <c r="M26" s="1573"/>
      <c r="N26" s="1573"/>
      <c r="O26" s="1573"/>
      <c r="P26" s="1573"/>
      <c r="Q26" s="1573"/>
      <c r="R26" s="1573"/>
      <c r="S26" s="1573"/>
      <c r="T26" s="1573"/>
      <c r="U26" s="1573"/>
      <c r="V26" s="1573"/>
      <c r="W26" s="1573"/>
      <c r="X26" s="1573"/>
      <c r="Y26" s="1573"/>
      <c r="Z26" s="1573"/>
      <c r="AA26" s="1573"/>
      <c r="AB26" s="1573"/>
      <c r="AC26" s="1573"/>
      <c r="AD26" s="1574"/>
      <c r="AE26" s="797"/>
      <c r="AF26" s="782"/>
      <c r="AG26" s="782"/>
      <c r="AH26" s="782"/>
    </row>
    <row r="27" spans="1:34" ht="16.5" customHeight="1">
      <c r="A27" s="722"/>
      <c r="B27" s="723"/>
      <c r="C27" s="801" t="s">
        <v>5</v>
      </c>
      <c r="D27" s="802">
        <v>148</v>
      </c>
      <c r="E27" s="803">
        <v>92</v>
      </c>
      <c r="F27" s="804">
        <f t="shared" si="10"/>
        <v>62.16216216216216</v>
      </c>
      <c r="G27" s="802">
        <v>177</v>
      </c>
      <c r="H27" s="803">
        <v>104</v>
      </c>
      <c r="I27" s="804">
        <f t="shared" si="12"/>
        <v>58.75706214689266</v>
      </c>
      <c r="J27" s="805">
        <f>J28+J29</f>
        <v>181</v>
      </c>
      <c r="K27" s="806">
        <f>K28+K29</f>
        <v>101</v>
      </c>
      <c r="L27" s="807">
        <f t="shared" si="13"/>
        <v>55.80110497237569</v>
      </c>
      <c r="M27" s="802">
        <f>M28+M29</f>
        <v>200</v>
      </c>
      <c r="N27" s="806">
        <f>N28+N29</f>
        <v>109</v>
      </c>
      <c r="O27" s="807">
        <f>N27/M27*100</f>
        <v>54.50000000000001</v>
      </c>
      <c r="P27" s="829">
        <f>P28+P29</f>
        <v>168</v>
      </c>
      <c r="Q27" s="830">
        <f>Q28+Q29</f>
        <v>131</v>
      </c>
      <c r="R27" s="807">
        <f>Q27/P27*100</f>
        <v>77.97619047619048</v>
      </c>
      <c r="S27" s="829">
        <f>S28+S29</f>
        <v>191</v>
      </c>
      <c r="T27" s="830">
        <f>T28+T29</f>
        <v>142</v>
      </c>
      <c r="U27" s="810">
        <f>T27/S27*100</f>
        <v>74.3455497382199</v>
      </c>
      <c r="V27" s="829">
        <f>V28+V29</f>
        <v>227</v>
      </c>
      <c r="W27" s="830">
        <f>W28+W29</f>
        <v>166</v>
      </c>
      <c r="X27" s="810">
        <f>W27/V27*100</f>
        <v>73.12775330396477</v>
      </c>
      <c r="Y27" s="829">
        <f>Y28+Y29</f>
        <v>249</v>
      </c>
      <c r="Z27" s="830">
        <f>Z28+Z29</f>
        <v>184</v>
      </c>
      <c r="AA27" s="810">
        <f>Z27/Y27*100</f>
        <v>73.89558232931726</v>
      </c>
      <c r="AB27" s="829">
        <f>AB28+AB29</f>
        <v>268</v>
      </c>
      <c r="AC27" s="830">
        <f>AC28+AC29</f>
        <v>195</v>
      </c>
      <c r="AD27" s="810">
        <f>AC27/AB27*100</f>
        <v>72.76119402985076</v>
      </c>
      <c r="AE27" s="797"/>
      <c r="AF27" s="782"/>
      <c r="AG27" s="782"/>
      <c r="AH27" s="782"/>
    </row>
    <row r="28" spans="1:34" ht="16.5" customHeight="1">
      <c r="A28" s="729" t="s">
        <v>198</v>
      </c>
      <c r="B28" s="730"/>
      <c r="C28" s="801" t="s">
        <v>39</v>
      </c>
      <c r="D28" s="802">
        <v>77</v>
      </c>
      <c r="E28" s="803">
        <v>52</v>
      </c>
      <c r="F28" s="831">
        <f t="shared" si="10"/>
        <v>67.53246753246754</v>
      </c>
      <c r="G28" s="802">
        <v>86</v>
      </c>
      <c r="H28" s="803">
        <v>51</v>
      </c>
      <c r="I28" s="831">
        <f t="shared" si="12"/>
        <v>59.30232558139535</v>
      </c>
      <c r="J28" s="802">
        <v>91</v>
      </c>
      <c r="K28" s="803">
        <v>50</v>
      </c>
      <c r="L28" s="832">
        <f t="shared" si="13"/>
        <v>54.94505494505495</v>
      </c>
      <c r="M28" s="802">
        <v>102</v>
      </c>
      <c r="N28" s="803">
        <v>60</v>
      </c>
      <c r="O28" s="832">
        <f>N28/M28*100</f>
        <v>58.82352941176471</v>
      </c>
      <c r="P28" s="833">
        <v>76</v>
      </c>
      <c r="Q28" s="834">
        <v>55</v>
      </c>
      <c r="R28" s="807">
        <f>Q28/P28*100</f>
        <v>72.36842105263158</v>
      </c>
      <c r="S28" s="833">
        <v>80</v>
      </c>
      <c r="T28" s="834">
        <v>60</v>
      </c>
      <c r="U28" s="804">
        <f>T28/S28*100</f>
        <v>75</v>
      </c>
      <c r="V28" s="833">
        <v>100</v>
      </c>
      <c r="W28" s="834">
        <v>78</v>
      </c>
      <c r="X28" s="804">
        <f>W28/V28*100</f>
        <v>78</v>
      </c>
      <c r="Y28" s="833">
        <v>115</v>
      </c>
      <c r="Z28" s="834">
        <v>80</v>
      </c>
      <c r="AA28" s="804">
        <f>Z28/Y28*100</f>
        <v>69.56521739130434</v>
      </c>
      <c r="AB28" s="833">
        <v>118</v>
      </c>
      <c r="AC28" s="834">
        <v>80</v>
      </c>
      <c r="AD28" s="804">
        <f>AC28/AB28*100</f>
        <v>67.79661016949152</v>
      </c>
      <c r="AE28" s="797"/>
      <c r="AF28" s="782"/>
      <c r="AG28" s="782"/>
      <c r="AH28" s="782"/>
    </row>
    <row r="29" spans="1:34" ht="16.5" customHeight="1" thickBot="1">
      <c r="A29" s="771" t="s">
        <v>97</v>
      </c>
      <c r="B29" s="772"/>
      <c r="C29" s="835" t="s">
        <v>40</v>
      </c>
      <c r="D29" s="836">
        <v>71</v>
      </c>
      <c r="E29" s="837">
        <v>40</v>
      </c>
      <c r="F29" s="838">
        <f t="shared" si="10"/>
        <v>56.33802816901409</v>
      </c>
      <c r="G29" s="836">
        <v>91</v>
      </c>
      <c r="H29" s="837">
        <v>53</v>
      </c>
      <c r="I29" s="838">
        <f t="shared" si="12"/>
        <v>58.24175824175825</v>
      </c>
      <c r="J29" s="836">
        <v>90</v>
      </c>
      <c r="K29" s="837">
        <v>51</v>
      </c>
      <c r="L29" s="839">
        <f t="shared" si="13"/>
        <v>56.666666666666664</v>
      </c>
      <c r="M29" s="836">
        <v>98</v>
      </c>
      <c r="N29" s="837">
        <v>49</v>
      </c>
      <c r="O29" s="839">
        <f>N29/M29*100</f>
        <v>50</v>
      </c>
      <c r="P29" s="840">
        <v>92</v>
      </c>
      <c r="Q29" s="841">
        <v>76</v>
      </c>
      <c r="R29" s="842">
        <f>Q29/P29*100</f>
        <v>82.6086956521739</v>
      </c>
      <c r="S29" s="840">
        <v>111</v>
      </c>
      <c r="T29" s="841">
        <v>82</v>
      </c>
      <c r="U29" s="843">
        <f>T29/S29*100</f>
        <v>73.87387387387388</v>
      </c>
      <c r="V29" s="840">
        <v>127</v>
      </c>
      <c r="W29" s="841">
        <v>88</v>
      </c>
      <c r="X29" s="843">
        <f>W29/V29*100</f>
        <v>69.29133858267717</v>
      </c>
      <c r="Y29" s="840">
        <v>134</v>
      </c>
      <c r="Z29" s="841">
        <v>104</v>
      </c>
      <c r="AA29" s="843">
        <f>Z29/Y29*100</f>
        <v>77.61194029850746</v>
      </c>
      <c r="AB29" s="840">
        <v>150</v>
      </c>
      <c r="AC29" s="841">
        <v>115</v>
      </c>
      <c r="AD29" s="843">
        <f>AC29/AB29*100</f>
        <v>76.66666666666667</v>
      </c>
      <c r="AE29" s="797"/>
      <c r="AF29" s="782"/>
      <c r="AG29" s="782"/>
      <c r="AH29" s="782"/>
    </row>
    <row r="30" spans="1:34" ht="15.75">
      <c r="A30" s="782" t="s">
        <v>207</v>
      </c>
      <c r="B30" s="782"/>
      <c r="C30" s="782"/>
      <c r="D30" s="782"/>
      <c r="E30" s="782"/>
      <c r="F30" s="783"/>
      <c r="G30" s="782"/>
      <c r="H30" s="782"/>
      <c r="I30" s="782"/>
      <c r="K30" s="782" t="s">
        <v>209</v>
      </c>
      <c r="L30" s="782"/>
      <c r="M30" s="782"/>
      <c r="N30" s="782"/>
      <c r="O30" s="782"/>
      <c r="P30" s="782"/>
      <c r="Q30" s="782"/>
      <c r="R30" s="782"/>
      <c r="T30" s="782"/>
      <c r="U30" s="782"/>
      <c r="V30" s="782"/>
      <c r="W30" s="782"/>
      <c r="X30" s="783" t="s">
        <v>210</v>
      </c>
      <c r="Y30" s="782"/>
      <c r="Z30" s="782"/>
      <c r="AA30" s="782"/>
      <c r="AB30" s="782"/>
      <c r="AC30" s="782"/>
      <c r="AD30" s="782"/>
      <c r="AE30" s="844"/>
      <c r="AF30" s="782"/>
      <c r="AG30" s="782"/>
      <c r="AH30" s="782"/>
    </row>
    <row r="31" spans="1:34" ht="12.75">
      <c r="A31" s="782"/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P31" s="782"/>
      <c r="Q31" s="782"/>
      <c r="R31" s="782"/>
      <c r="S31" s="782"/>
      <c r="T31" s="782"/>
      <c r="U31" s="782"/>
      <c r="V31" s="782"/>
      <c r="W31" s="782"/>
      <c r="X31" s="782"/>
      <c r="Y31" s="782"/>
      <c r="Z31" s="782"/>
      <c r="AA31" s="782"/>
      <c r="AB31" s="782"/>
      <c r="AC31" s="782"/>
      <c r="AD31" s="782"/>
      <c r="AE31" s="98"/>
      <c r="AF31" s="782"/>
      <c r="AG31" s="782"/>
      <c r="AH31" s="782"/>
    </row>
    <row r="32" spans="1:34" ht="12.75">
      <c r="A32" s="782"/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  <c r="N32" s="782"/>
      <c r="O32" s="782"/>
      <c r="P32" s="782"/>
      <c r="Q32" s="782"/>
      <c r="R32" s="782"/>
      <c r="S32" s="782"/>
      <c r="T32" s="782"/>
      <c r="U32" s="782"/>
      <c r="V32" s="782"/>
      <c r="W32" s="782"/>
      <c r="X32" s="782"/>
      <c r="Y32" s="782"/>
      <c r="Z32" s="784"/>
      <c r="AA32" s="782"/>
      <c r="AB32" s="782"/>
      <c r="AC32" s="784"/>
      <c r="AD32" s="782"/>
      <c r="AE32" s="98"/>
      <c r="AF32" s="782"/>
      <c r="AG32" s="782"/>
      <c r="AH32" s="782"/>
    </row>
    <row r="33" spans="1:34" ht="12.75">
      <c r="A33" s="782"/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  <c r="N33" s="782"/>
      <c r="O33" s="782"/>
      <c r="P33" s="782"/>
      <c r="Q33" s="782"/>
      <c r="R33" s="782"/>
      <c r="S33" s="782"/>
      <c r="T33" s="782"/>
      <c r="U33" s="782"/>
      <c r="V33" s="782"/>
      <c r="W33" s="782"/>
      <c r="X33" s="782"/>
      <c r="Y33" s="782"/>
      <c r="Z33" s="782"/>
      <c r="AA33" s="782"/>
      <c r="AB33" s="782"/>
      <c r="AC33" s="782"/>
      <c r="AD33" s="782"/>
      <c r="AE33" s="98"/>
      <c r="AF33" s="782"/>
      <c r="AG33" s="782"/>
      <c r="AH33" s="782"/>
    </row>
    <row r="34" spans="1:34" ht="12.75">
      <c r="A34" s="782"/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  <c r="N34" s="782"/>
      <c r="O34" s="782"/>
      <c r="P34" s="782"/>
      <c r="Q34" s="782"/>
      <c r="R34" s="782"/>
      <c r="S34" s="782"/>
      <c r="T34" s="782"/>
      <c r="U34" s="782"/>
      <c r="V34" s="782"/>
      <c r="W34" s="782"/>
      <c r="X34" s="782"/>
      <c r="Y34" s="782"/>
      <c r="Z34" s="782"/>
      <c r="AA34" s="782"/>
      <c r="AB34" s="782"/>
      <c r="AC34" s="782"/>
      <c r="AD34" s="782"/>
      <c r="AE34" s="98"/>
      <c r="AF34" s="782"/>
      <c r="AG34" s="782"/>
      <c r="AH34" s="782"/>
    </row>
    <row r="35" spans="1:34" ht="12.75">
      <c r="A35" s="782"/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  <c r="N35" s="782"/>
      <c r="O35" s="782"/>
      <c r="P35" s="782"/>
      <c r="Q35" s="782"/>
      <c r="R35" s="782"/>
      <c r="S35" s="782"/>
      <c r="T35" s="782"/>
      <c r="U35" s="782"/>
      <c r="V35" s="782"/>
      <c r="W35" s="782"/>
      <c r="X35" s="782"/>
      <c r="Y35" s="782"/>
      <c r="Z35" s="782"/>
      <c r="AA35" s="782"/>
      <c r="AB35" s="782"/>
      <c r="AC35" s="782"/>
      <c r="AD35" s="782"/>
      <c r="AE35" s="98"/>
      <c r="AF35" s="782"/>
      <c r="AG35" s="782"/>
      <c r="AH35" s="782"/>
    </row>
    <row r="36" spans="1:34" ht="12.75">
      <c r="A36" s="782"/>
      <c r="B36" s="782"/>
      <c r="C36" s="782"/>
      <c r="D36" s="782"/>
      <c r="E36" s="782"/>
      <c r="F36" s="782"/>
      <c r="G36" s="782"/>
      <c r="H36" s="782"/>
      <c r="I36" s="782"/>
      <c r="J36" s="782"/>
      <c r="K36" s="782"/>
      <c r="L36" s="782"/>
      <c r="M36" s="782"/>
      <c r="N36" s="782"/>
      <c r="O36" s="782"/>
      <c r="P36" s="782"/>
      <c r="Q36" s="782"/>
      <c r="R36" s="782"/>
      <c r="S36" s="782"/>
      <c r="T36" s="782"/>
      <c r="U36" s="782"/>
      <c r="V36" s="782"/>
      <c r="W36" s="782"/>
      <c r="X36" s="782"/>
      <c r="Y36" s="782"/>
      <c r="Z36" s="782"/>
      <c r="AA36" s="782"/>
      <c r="AB36" s="782"/>
      <c r="AC36" s="782"/>
      <c r="AD36" s="782"/>
      <c r="AE36" s="98"/>
      <c r="AF36" s="782"/>
      <c r="AG36" s="782"/>
      <c r="AH36" s="782"/>
    </row>
    <row r="37" spans="1:34" ht="12.75">
      <c r="A37" s="782"/>
      <c r="B37" s="782"/>
      <c r="C37" s="782"/>
      <c r="D37" s="782"/>
      <c r="E37" s="782"/>
      <c r="F37" s="782"/>
      <c r="G37" s="782"/>
      <c r="H37" s="782"/>
      <c r="I37" s="782"/>
      <c r="J37" s="782"/>
      <c r="K37" s="782"/>
      <c r="L37" s="782"/>
      <c r="M37" s="782"/>
      <c r="N37" s="782"/>
      <c r="O37" s="782"/>
      <c r="P37" s="782"/>
      <c r="Q37" s="782"/>
      <c r="R37" s="782"/>
      <c r="S37" s="782"/>
      <c r="T37" s="782"/>
      <c r="U37" s="782"/>
      <c r="V37" s="782"/>
      <c r="W37" s="782"/>
      <c r="X37" s="782"/>
      <c r="Y37" s="782"/>
      <c r="Z37" s="782"/>
      <c r="AA37" s="782"/>
      <c r="AB37" s="782"/>
      <c r="AC37" s="782"/>
      <c r="AD37" s="782"/>
      <c r="AE37" s="98"/>
      <c r="AF37" s="782"/>
      <c r="AG37" s="782"/>
      <c r="AH37" s="782"/>
    </row>
    <row r="38" spans="1:34" ht="12.75">
      <c r="A38" s="782"/>
      <c r="B38" s="782"/>
      <c r="C38" s="782"/>
      <c r="D38" s="782"/>
      <c r="E38" s="782"/>
      <c r="F38" s="782"/>
      <c r="G38" s="782"/>
      <c r="H38" s="782"/>
      <c r="I38" s="782"/>
      <c r="J38" s="782"/>
      <c r="K38" s="782"/>
      <c r="L38" s="782"/>
      <c r="M38" s="782"/>
      <c r="N38" s="782"/>
      <c r="O38" s="782"/>
      <c r="P38" s="782"/>
      <c r="Q38" s="782"/>
      <c r="R38" s="782"/>
      <c r="S38" s="782"/>
      <c r="T38" s="782"/>
      <c r="U38" s="782"/>
      <c r="V38" s="782"/>
      <c r="W38" s="782"/>
      <c r="X38" s="782"/>
      <c r="Y38" s="782"/>
      <c r="Z38" s="782"/>
      <c r="AA38" s="782"/>
      <c r="AB38" s="782"/>
      <c r="AC38" s="782"/>
      <c r="AD38" s="782"/>
      <c r="AE38" s="98"/>
      <c r="AF38" s="782"/>
      <c r="AG38" s="782"/>
      <c r="AH38" s="782"/>
    </row>
    <row r="39" spans="18:28" ht="12.75">
      <c r="R39" s="782"/>
      <c r="S39" s="782"/>
      <c r="T39" s="782"/>
      <c r="U39" s="782"/>
      <c r="V39" s="782"/>
      <c r="W39" s="782"/>
      <c r="X39" s="782"/>
      <c r="Y39" s="782"/>
      <c r="AB39" s="782"/>
    </row>
  </sheetData>
  <sheetProtection/>
  <mergeCells count="10">
    <mergeCell ref="AB4:AD4"/>
    <mergeCell ref="A6:AD6"/>
    <mergeCell ref="A16:AD16"/>
    <mergeCell ref="A26:AD26"/>
    <mergeCell ref="Y4:AA4"/>
    <mergeCell ref="A4:C5"/>
    <mergeCell ref="S4:U4"/>
    <mergeCell ref="M4:O4"/>
    <mergeCell ref="P4:R4"/>
    <mergeCell ref="V4:X4"/>
  </mergeCells>
  <printOptions/>
  <pageMargins left="0.25" right="0.23" top="0.5" bottom="0.26" header="0.31" footer="0.16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27.57421875" style="846" customWidth="1"/>
    <col min="2" max="2" width="9.421875" style="846" customWidth="1"/>
    <col min="3" max="3" width="7.8515625" style="845" customWidth="1"/>
    <col min="4" max="4" width="7.7109375" style="845" customWidth="1"/>
    <col min="5" max="5" width="7.00390625" style="845" customWidth="1"/>
    <col min="6" max="6" width="6.57421875" style="845" customWidth="1"/>
    <col min="7" max="7" width="7.00390625" style="845" customWidth="1"/>
    <col min="8" max="8" width="10.421875" style="845" customWidth="1"/>
    <col min="9" max="9" width="7.140625" style="845" customWidth="1"/>
    <col min="10" max="10" width="6.421875" style="845" customWidth="1"/>
    <col min="11" max="11" width="10.7109375" style="845" customWidth="1"/>
    <col min="12" max="12" width="14.421875" style="845" customWidth="1"/>
    <col min="13" max="13" width="10.28125" style="845" customWidth="1"/>
    <col min="14" max="14" width="10.140625" style="845" customWidth="1"/>
    <col min="15" max="16384" width="9.140625" style="845" customWidth="1"/>
  </cols>
  <sheetData>
    <row r="1" spans="1:2" ht="19.5" customHeight="1">
      <c r="A1" s="845" t="s">
        <v>405</v>
      </c>
      <c r="B1" s="845"/>
    </row>
    <row r="2" ht="3" customHeight="1"/>
    <row r="3" spans="1:13" ht="21" customHeight="1">
      <c r="A3" s="1576" t="s">
        <v>211</v>
      </c>
      <c r="B3" s="1576" t="s">
        <v>5</v>
      </c>
      <c r="C3" s="1584" t="s">
        <v>292</v>
      </c>
      <c r="D3" s="1585"/>
      <c r="E3" s="1585"/>
      <c r="F3" s="1585"/>
      <c r="G3" s="1585"/>
      <c r="H3" s="1585"/>
      <c r="I3" s="1585"/>
      <c r="J3" s="1585"/>
      <c r="K3" s="1586"/>
      <c r="L3" s="1579" t="s">
        <v>212</v>
      </c>
      <c r="M3" s="1576" t="s">
        <v>213</v>
      </c>
    </row>
    <row r="4" spans="1:13" ht="5.25" customHeight="1">
      <c r="A4" s="1577"/>
      <c r="B4" s="1577"/>
      <c r="C4" s="1177"/>
      <c r="D4" s="1180"/>
      <c r="E4" s="1181"/>
      <c r="F4" s="1101"/>
      <c r="G4" s="1181"/>
      <c r="H4" s="1101"/>
      <c r="I4" s="1181"/>
      <c r="J4" s="1181"/>
      <c r="K4" s="1582" t="s">
        <v>409</v>
      </c>
      <c r="L4" s="1580"/>
      <c r="M4" s="1577"/>
    </row>
    <row r="5" spans="1:13" s="846" customFormat="1" ht="12" customHeight="1">
      <c r="A5" s="1578"/>
      <c r="B5" s="1578"/>
      <c r="C5" s="847" t="s">
        <v>244</v>
      </c>
      <c r="D5" s="848" t="s">
        <v>214</v>
      </c>
      <c r="E5" s="848" t="s">
        <v>215</v>
      </c>
      <c r="F5" s="848" t="s">
        <v>216</v>
      </c>
      <c r="G5" s="848" t="s">
        <v>217</v>
      </c>
      <c r="H5" s="848" t="s">
        <v>218</v>
      </c>
      <c r="I5" s="848" t="s">
        <v>219</v>
      </c>
      <c r="J5" s="849" t="s">
        <v>220</v>
      </c>
      <c r="K5" s="1583"/>
      <c r="L5" s="1581"/>
      <c r="M5" s="1578"/>
    </row>
    <row r="6" spans="1:13" s="846" customFormat="1" ht="14.25" customHeight="1">
      <c r="A6" s="850" t="s">
        <v>293</v>
      </c>
      <c r="B6" s="1008">
        <f>SUM(C6:M6)-K6</f>
        <v>5139</v>
      </c>
      <c r="C6" s="1009">
        <v>257</v>
      </c>
      <c r="D6" s="1079">
        <v>24</v>
      </c>
      <c r="E6" s="1016" t="s">
        <v>295</v>
      </c>
      <c r="F6" s="1016" t="s">
        <v>295</v>
      </c>
      <c r="G6" s="1016" t="s">
        <v>295</v>
      </c>
      <c r="H6" s="1010" t="s">
        <v>36</v>
      </c>
      <c r="I6" s="1010" t="s">
        <v>36</v>
      </c>
      <c r="J6" s="1011" t="s">
        <v>36</v>
      </c>
      <c r="K6" s="851">
        <f>SUM(C6:J6)</f>
        <v>281</v>
      </c>
      <c r="L6" s="1012">
        <v>4324</v>
      </c>
      <c r="M6" s="1077">
        <v>534</v>
      </c>
    </row>
    <row r="7" spans="1:13" s="846" customFormat="1" ht="14.25" customHeight="1">
      <c r="A7" s="850" t="s">
        <v>221</v>
      </c>
      <c r="B7" s="1013">
        <f aca="true" t="shared" si="0" ref="B7:B37">SUM(C7:M7)-K7</f>
        <v>5168</v>
      </c>
      <c r="C7" s="1014">
        <v>1521</v>
      </c>
      <c r="D7" s="1079">
        <v>1034</v>
      </c>
      <c r="E7" s="1016" t="s">
        <v>295</v>
      </c>
      <c r="F7" s="1016" t="s">
        <v>295</v>
      </c>
      <c r="G7" s="1020">
        <v>133</v>
      </c>
      <c r="H7" s="1015">
        <v>349</v>
      </c>
      <c r="I7" s="1016" t="s">
        <v>36</v>
      </c>
      <c r="J7" s="1017" t="s">
        <v>36</v>
      </c>
      <c r="K7" s="853">
        <f>SUM(C7:J7)</f>
        <v>3037</v>
      </c>
      <c r="L7" s="1018">
        <v>1160</v>
      </c>
      <c r="M7" s="1076">
        <v>971</v>
      </c>
    </row>
    <row r="8" spans="1:13" s="846" customFormat="1" ht="14.25" customHeight="1">
      <c r="A8" s="850" t="s">
        <v>222</v>
      </c>
      <c r="B8" s="1013">
        <f t="shared" si="0"/>
        <v>338</v>
      </c>
      <c r="C8" s="1014">
        <v>319</v>
      </c>
      <c r="D8" s="1016" t="s">
        <v>295</v>
      </c>
      <c r="E8" s="1016" t="s">
        <v>295</v>
      </c>
      <c r="F8" s="1016" t="s">
        <v>295</v>
      </c>
      <c r="G8" s="1016" t="s">
        <v>295</v>
      </c>
      <c r="H8" s="1016" t="s">
        <v>36</v>
      </c>
      <c r="I8" s="1016" t="s">
        <v>36</v>
      </c>
      <c r="J8" s="1017" t="s">
        <v>36</v>
      </c>
      <c r="K8" s="853">
        <f aca="true" t="shared" si="1" ref="K8:K36">SUM(C8:J8)</f>
        <v>319</v>
      </c>
      <c r="L8" s="1016" t="s">
        <v>295</v>
      </c>
      <c r="M8" s="1076">
        <v>19</v>
      </c>
    </row>
    <row r="9" spans="1:13" s="846" customFormat="1" ht="14.25" customHeight="1">
      <c r="A9" s="850" t="s">
        <v>223</v>
      </c>
      <c r="B9" s="1013">
        <f t="shared" si="0"/>
        <v>134</v>
      </c>
      <c r="C9" s="1019" t="s">
        <v>295</v>
      </c>
      <c r="D9" s="1016" t="s">
        <v>13</v>
      </c>
      <c r="E9" s="1016" t="s">
        <v>295</v>
      </c>
      <c r="F9" s="1016" t="s">
        <v>295</v>
      </c>
      <c r="G9" s="1016" t="s">
        <v>295</v>
      </c>
      <c r="H9" s="1016" t="s">
        <v>36</v>
      </c>
      <c r="I9" s="1016" t="s">
        <v>36</v>
      </c>
      <c r="J9" s="1017" t="s">
        <v>36</v>
      </c>
      <c r="K9" s="1171">
        <v>0</v>
      </c>
      <c r="L9" s="1018">
        <v>7</v>
      </c>
      <c r="M9" s="1076">
        <v>127</v>
      </c>
    </row>
    <row r="10" spans="1:13" s="846" customFormat="1" ht="14.25" customHeight="1">
      <c r="A10" s="850" t="s">
        <v>224</v>
      </c>
      <c r="B10" s="1013">
        <f t="shared" si="0"/>
        <v>553</v>
      </c>
      <c r="C10" s="1019" t="s">
        <v>295</v>
      </c>
      <c r="D10" s="1016" t="s">
        <v>295</v>
      </c>
      <c r="E10" s="1016" t="s">
        <v>295</v>
      </c>
      <c r="F10" s="1020">
        <v>160</v>
      </c>
      <c r="G10" s="1016" t="s">
        <v>295</v>
      </c>
      <c r="H10" s="1016" t="s">
        <v>36</v>
      </c>
      <c r="I10" s="1016" t="s">
        <v>36</v>
      </c>
      <c r="J10" s="1017" t="s">
        <v>36</v>
      </c>
      <c r="K10" s="853">
        <f t="shared" si="1"/>
        <v>160</v>
      </c>
      <c r="L10" s="1018">
        <v>254</v>
      </c>
      <c r="M10" s="1076">
        <v>139</v>
      </c>
    </row>
    <row r="11" spans="1:13" s="846" customFormat="1" ht="14.25" customHeight="1">
      <c r="A11" s="850" t="s">
        <v>225</v>
      </c>
      <c r="B11" s="1013">
        <f t="shared" si="0"/>
        <v>981</v>
      </c>
      <c r="C11" s="1014">
        <v>465</v>
      </c>
      <c r="D11" s="1079">
        <v>265</v>
      </c>
      <c r="E11" s="1016" t="s">
        <v>295</v>
      </c>
      <c r="F11" s="1016" t="s">
        <v>295</v>
      </c>
      <c r="G11" s="1016" t="s">
        <v>295</v>
      </c>
      <c r="H11" s="1016" t="s">
        <v>36</v>
      </c>
      <c r="I11" s="1016" t="s">
        <v>36</v>
      </c>
      <c r="J11" s="1017" t="s">
        <v>36</v>
      </c>
      <c r="K11" s="853">
        <f t="shared" si="1"/>
        <v>730</v>
      </c>
      <c r="L11" s="1018">
        <v>110</v>
      </c>
      <c r="M11" s="1076">
        <v>141</v>
      </c>
    </row>
    <row r="12" spans="1:13" s="846" customFormat="1" ht="14.25" customHeight="1">
      <c r="A12" s="850" t="s">
        <v>226</v>
      </c>
      <c r="B12" s="1013">
        <f t="shared" si="0"/>
        <v>3096</v>
      </c>
      <c r="C12" s="1014">
        <v>148</v>
      </c>
      <c r="D12" s="1016" t="s">
        <v>36</v>
      </c>
      <c r="E12" s="1016" t="s">
        <v>295</v>
      </c>
      <c r="F12" s="1016" t="s">
        <v>295</v>
      </c>
      <c r="G12" s="1079">
        <v>42</v>
      </c>
      <c r="H12" s="1015"/>
      <c r="I12" s="1016" t="s">
        <v>36</v>
      </c>
      <c r="J12" s="1017" t="s">
        <v>36</v>
      </c>
      <c r="K12" s="853">
        <f t="shared" si="1"/>
        <v>190</v>
      </c>
      <c r="L12" s="1018">
        <v>1150</v>
      </c>
      <c r="M12" s="1076">
        <v>1756</v>
      </c>
    </row>
    <row r="13" spans="1:13" s="846" customFormat="1" ht="14.25" customHeight="1">
      <c r="A13" s="850" t="s">
        <v>227</v>
      </c>
      <c r="B13" s="1013">
        <f t="shared" si="0"/>
        <v>451</v>
      </c>
      <c r="C13" s="1014">
        <v>86</v>
      </c>
      <c r="D13" s="1079">
        <v>69</v>
      </c>
      <c r="E13" s="1016" t="s">
        <v>295</v>
      </c>
      <c r="F13" s="1016" t="s">
        <v>295</v>
      </c>
      <c r="G13" s="1016" t="s">
        <v>295</v>
      </c>
      <c r="H13" s="1016" t="s">
        <v>36</v>
      </c>
      <c r="I13" s="1016" t="s">
        <v>36</v>
      </c>
      <c r="J13" s="1017" t="s">
        <v>36</v>
      </c>
      <c r="K13" s="853">
        <f t="shared" si="1"/>
        <v>155</v>
      </c>
      <c r="L13" s="1018">
        <v>112</v>
      </c>
      <c r="M13" s="1076">
        <v>184</v>
      </c>
    </row>
    <row r="14" spans="1:13" s="846" customFormat="1" ht="14.25" customHeight="1">
      <c r="A14" s="850" t="s">
        <v>324</v>
      </c>
      <c r="B14" s="1013">
        <f t="shared" si="0"/>
        <v>62</v>
      </c>
      <c r="C14" s="1019" t="s">
        <v>295</v>
      </c>
      <c r="D14" s="1079">
        <v>62</v>
      </c>
      <c r="E14" s="1016" t="s">
        <v>295</v>
      </c>
      <c r="F14" s="1016" t="s">
        <v>295</v>
      </c>
      <c r="G14" s="1016" t="s">
        <v>295</v>
      </c>
      <c r="H14" s="1016" t="s">
        <v>36</v>
      </c>
      <c r="I14" s="1016" t="s">
        <v>36</v>
      </c>
      <c r="J14" s="1017" t="s">
        <v>36</v>
      </c>
      <c r="K14" s="853">
        <f t="shared" si="1"/>
        <v>62</v>
      </c>
      <c r="L14" s="1172" t="s">
        <v>295</v>
      </c>
      <c r="M14" s="1173" t="s">
        <v>36</v>
      </c>
    </row>
    <row r="15" spans="1:14" s="846" customFormat="1" ht="14.25" customHeight="1">
      <c r="A15" s="850" t="s">
        <v>228</v>
      </c>
      <c r="B15" s="1013">
        <f t="shared" si="0"/>
        <v>331</v>
      </c>
      <c r="C15" s="1019" t="s">
        <v>295</v>
      </c>
      <c r="D15" s="1016" t="s">
        <v>295</v>
      </c>
      <c r="E15" s="1016" t="s">
        <v>295</v>
      </c>
      <c r="F15" s="1016" t="s">
        <v>295</v>
      </c>
      <c r="G15" s="1016" t="s">
        <v>295</v>
      </c>
      <c r="H15" s="1016" t="s">
        <v>36</v>
      </c>
      <c r="I15" s="1016" t="s">
        <v>36</v>
      </c>
      <c r="J15" s="1017" t="s">
        <v>36</v>
      </c>
      <c r="K15" s="1171">
        <v>0</v>
      </c>
      <c r="L15" s="1018">
        <v>267</v>
      </c>
      <c r="M15" s="1076">
        <v>64</v>
      </c>
      <c r="N15" s="846" t="s">
        <v>97</v>
      </c>
    </row>
    <row r="16" spans="1:13" s="846" customFormat="1" ht="14.25" customHeight="1">
      <c r="A16" s="850" t="s">
        <v>229</v>
      </c>
      <c r="B16" s="1013">
        <f t="shared" si="0"/>
        <v>763</v>
      </c>
      <c r="C16" s="1014">
        <v>467</v>
      </c>
      <c r="D16" s="1079">
        <v>13</v>
      </c>
      <c r="E16" s="1016" t="s">
        <v>295</v>
      </c>
      <c r="F16" s="1016" t="s">
        <v>295</v>
      </c>
      <c r="G16" s="1016" t="s">
        <v>295</v>
      </c>
      <c r="H16" s="1016" t="s">
        <v>36</v>
      </c>
      <c r="I16" s="1016" t="s">
        <v>36</v>
      </c>
      <c r="J16" s="1017" t="s">
        <v>36</v>
      </c>
      <c r="K16" s="853">
        <f t="shared" si="1"/>
        <v>480</v>
      </c>
      <c r="L16" s="1018">
        <v>47</v>
      </c>
      <c r="M16" s="1076">
        <v>236</v>
      </c>
    </row>
    <row r="17" spans="1:13" s="846" customFormat="1" ht="14.25" customHeight="1">
      <c r="A17" s="850" t="s">
        <v>230</v>
      </c>
      <c r="B17" s="1013">
        <f t="shared" si="0"/>
        <v>4530</v>
      </c>
      <c r="C17" s="1014">
        <v>22</v>
      </c>
      <c r="D17" s="1079">
        <v>135</v>
      </c>
      <c r="E17" s="1079">
        <v>4196</v>
      </c>
      <c r="F17" s="1016" t="s">
        <v>295</v>
      </c>
      <c r="G17" s="1079">
        <v>2</v>
      </c>
      <c r="H17" s="1016" t="s">
        <v>36</v>
      </c>
      <c r="I17" s="1016" t="s">
        <v>36</v>
      </c>
      <c r="J17" s="1017" t="s">
        <v>36</v>
      </c>
      <c r="K17" s="853">
        <f t="shared" si="1"/>
        <v>4355</v>
      </c>
      <c r="L17" s="1018">
        <v>36</v>
      </c>
      <c r="M17" s="1076">
        <v>139</v>
      </c>
    </row>
    <row r="18" spans="1:13" s="846" customFormat="1" ht="14.25" customHeight="1">
      <c r="A18" s="850" t="s">
        <v>328</v>
      </c>
      <c r="B18" s="1013">
        <f t="shared" si="0"/>
        <v>17</v>
      </c>
      <c r="C18" s="1019" t="s">
        <v>295</v>
      </c>
      <c r="D18" s="1079">
        <v>15</v>
      </c>
      <c r="E18" s="1016" t="s">
        <v>295</v>
      </c>
      <c r="F18" s="1016" t="s">
        <v>295</v>
      </c>
      <c r="G18" s="1016" t="s">
        <v>295</v>
      </c>
      <c r="H18" s="1016" t="s">
        <v>36</v>
      </c>
      <c r="I18" s="1016" t="s">
        <v>36</v>
      </c>
      <c r="J18" s="1017" t="s">
        <v>36</v>
      </c>
      <c r="K18" s="853">
        <f t="shared" si="1"/>
        <v>15</v>
      </c>
      <c r="L18" s="1016" t="s">
        <v>295</v>
      </c>
      <c r="M18" s="1076">
        <v>2</v>
      </c>
    </row>
    <row r="19" spans="1:13" s="846" customFormat="1" ht="14.25" customHeight="1">
      <c r="A19" s="850" t="s">
        <v>231</v>
      </c>
      <c r="B19" s="1013">
        <f t="shared" si="0"/>
        <v>2780</v>
      </c>
      <c r="C19" s="1014">
        <v>1220</v>
      </c>
      <c r="D19" s="1079">
        <v>31</v>
      </c>
      <c r="E19" s="1016" t="s">
        <v>295</v>
      </c>
      <c r="F19" s="1016" t="s">
        <v>295</v>
      </c>
      <c r="G19" s="1016" t="s">
        <v>295</v>
      </c>
      <c r="H19" s="1015">
        <v>268</v>
      </c>
      <c r="I19" s="1020">
        <v>22</v>
      </c>
      <c r="J19" s="1017" t="s">
        <v>36</v>
      </c>
      <c r="K19" s="853">
        <f t="shared" si="1"/>
        <v>1541</v>
      </c>
      <c r="L19" s="1018">
        <v>229</v>
      </c>
      <c r="M19" s="1076">
        <v>1010</v>
      </c>
    </row>
    <row r="20" spans="1:13" s="846" customFormat="1" ht="14.25" customHeight="1">
      <c r="A20" s="850" t="s">
        <v>327</v>
      </c>
      <c r="B20" s="1013">
        <f t="shared" si="0"/>
        <v>673</v>
      </c>
      <c r="C20" s="1014">
        <v>378</v>
      </c>
      <c r="D20" s="1020">
        <v>108</v>
      </c>
      <c r="E20" s="1016" t="s">
        <v>295</v>
      </c>
      <c r="F20" s="1016" t="s">
        <v>295</v>
      </c>
      <c r="G20" s="1016" t="s">
        <v>295</v>
      </c>
      <c r="H20" s="1016" t="s">
        <v>36</v>
      </c>
      <c r="I20" s="1016" t="s">
        <v>36</v>
      </c>
      <c r="J20" s="1080">
        <v>51</v>
      </c>
      <c r="K20" s="853">
        <f t="shared" si="1"/>
        <v>537</v>
      </c>
      <c r="L20" s="1016" t="s">
        <v>295</v>
      </c>
      <c r="M20" s="1076">
        <v>136</v>
      </c>
    </row>
    <row r="21" spans="1:13" s="846" customFormat="1" ht="14.25" customHeight="1">
      <c r="A21" s="850" t="s">
        <v>232</v>
      </c>
      <c r="B21" s="1013">
        <f t="shared" si="0"/>
        <v>542</v>
      </c>
      <c r="C21" s="1014">
        <v>258</v>
      </c>
      <c r="D21" s="1016" t="s">
        <v>295</v>
      </c>
      <c r="E21" s="1016" t="s">
        <v>295</v>
      </c>
      <c r="F21" s="1020">
        <v>79</v>
      </c>
      <c r="G21" s="1016" t="s">
        <v>36</v>
      </c>
      <c r="H21" s="1016" t="s">
        <v>36</v>
      </c>
      <c r="I21" s="1016" t="s">
        <v>36</v>
      </c>
      <c r="J21" s="1017" t="s">
        <v>36</v>
      </c>
      <c r="K21" s="853">
        <f t="shared" si="1"/>
        <v>337</v>
      </c>
      <c r="L21" s="1018">
        <v>9</v>
      </c>
      <c r="M21" s="1076">
        <v>196</v>
      </c>
    </row>
    <row r="22" spans="1:13" s="846" customFormat="1" ht="14.25" customHeight="1">
      <c r="A22" s="850" t="s">
        <v>233</v>
      </c>
      <c r="B22" s="1013">
        <f t="shared" si="0"/>
        <v>3448</v>
      </c>
      <c r="C22" s="1014">
        <v>949</v>
      </c>
      <c r="D22" s="1020">
        <v>419</v>
      </c>
      <c r="E22" s="1016" t="s">
        <v>295</v>
      </c>
      <c r="F22" s="1016" t="s">
        <v>295</v>
      </c>
      <c r="G22" s="1079">
        <v>11</v>
      </c>
      <c r="H22" s="1015">
        <v>166</v>
      </c>
      <c r="I22" s="1015">
        <v>121</v>
      </c>
      <c r="J22" s="1017" t="s">
        <v>36</v>
      </c>
      <c r="K22" s="853">
        <f t="shared" si="1"/>
        <v>1666</v>
      </c>
      <c r="L22" s="1018">
        <v>756</v>
      </c>
      <c r="M22" s="1076">
        <v>1026</v>
      </c>
    </row>
    <row r="23" spans="1:13" s="846" customFormat="1" ht="14.25" customHeight="1">
      <c r="A23" s="854" t="s">
        <v>234</v>
      </c>
      <c r="B23" s="1013">
        <f t="shared" si="0"/>
        <v>1292</v>
      </c>
      <c r="C23" s="1014">
        <v>361</v>
      </c>
      <c r="D23" s="1016" t="s">
        <v>295</v>
      </c>
      <c r="E23" s="1016" t="s">
        <v>295</v>
      </c>
      <c r="F23" s="1020">
        <v>300</v>
      </c>
      <c r="G23" s="1020">
        <v>131</v>
      </c>
      <c r="H23" s="1016" t="s">
        <v>36</v>
      </c>
      <c r="I23" s="1016" t="s">
        <v>36</v>
      </c>
      <c r="J23" s="1017" t="s">
        <v>36</v>
      </c>
      <c r="K23" s="853">
        <f t="shared" si="1"/>
        <v>792</v>
      </c>
      <c r="L23" s="1018">
        <v>120</v>
      </c>
      <c r="M23" s="1076">
        <v>380</v>
      </c>
    </row>
    <row r="24" spans="1:13" s="846" customFormat="1" ht="14.25" customHeight="1">
      <c r="A24" s="850" t="s">
        <v>235</v>
      </c>
      <c r="B24" s="1013">
        <f t="shared" si="0"/>
        <v>1195</v>
      </c>
      <c r="C24" s="1014">
        <v>331</v>
      </c>
      <c r="D24" s="1016" t="s">
        <v>295</v>
      </c>
      <c r="E24" s="1016" t="s">
        <v>295</v>
      </c>
      <c r="F24" s="1016" t="s">
        <v>295</v>
      </c>
      <c r="G24" s="1016" t="s">
        <v>295</v>
      </c>
      <c r="H24" s="1016" t="s">
        <v>36</v>
      </c>
      <c r="I24" s="1016" t="s">
        <v>36</v>
      </c>
      <c r="J24" s="1017" t="s">
        <v>36</v>
      </c>
      <c r="K24" s="853">
        <f t="shared" si="1"/>
        <v>331</v>
      </c>
      <c r="L24" s="1018">
        <v>385</v>
      </c>
      <c r="M24" s="1076">
        <v>479</v>
      </c>
    </row>
    <row r="25" spans="1:13" s="846" customFormat="1" ht="14.25" customHeight="1">
      <c r="A25" s="850" t="s">
        <v>236</v>
      </c>
      <c r="B25" s="1013">
        <f t="shared" si="0"/>
        <v>441</v>
      </c>
      <c r="C25" s="1014">
        <v>201</v>
      </c>
      <c r="D25" s="1079">
        <v>43</v>
      </c>
      <c r="E25" s="1016" t="s">
        <v>295</v>
      </c>
      <c r="F25" s="1016" t="s">
        <v>295</v>
      </c>
      <c r="G25" s="1016" t="s">
        <v>295</v>
      </c>
      <c r="H25" s="1016" t="s">
        <v>36</v>
      </c>
      <c r="I25" s="1016" t="s">
        <v>36</v>
      </c>
      <c r="J25" s="1017" t="s">
        <v>36</v>
      </c>
      <c r="K25" s="853">
        <f t="shared" si="1"/>
        <v>244</v>
      </c>
      <c r="L25" s="1018">
        <v>32</v>
      </c>
      <c r="M25" s="1076">
        <v>165</v>
      </c>
    </row>
    <row r="26" spans="1:13" s="846" customFormat="1" ht="14.25" customHeight="1">
      <c r="A26" s="850" t="s">
        <v>294</v>
      </c>
      <c r="B26" s="1013">
        <f t="shared" si="0"/>
        <v>1889</v>
      </c>
      <c r="C26" s="1014">
        <v>74</v>
      </c>
      <c r="D26" s="1016" t="s">
        <v>295</v>
      </c>
      <c r="E26" s="1016" t="s">
        <v>295</v>
      </c>
      <c r="F26" s="1016" t="s">
        <v>295</v>
      </c>
      <c r="G26" s="1016" t="s">
        <v>295</v>
      </c>
      <c r="H26" s="1016" t="s">
        <v>36</v>
      </c>
      <c r="I26" s="1016" t="s">
        <v>36</v>
      </c>
      <c r="J26" s="1080">
        <v>16</v>
      </c>
      <c r="K26" s="853">
        <f t="shared" si="1"/>
        <v>90</v>
      </c>
      <c r="L26" s="1018">
        <v>702</v>
      </c>
      <c r="M26" s="1076">
        <v>1097</v>
      </c>
    </row>
    <row r="27" spans="1:13" s="846" customFormat="1" ht="14.25" customHeight="1">
      <c r="A27" s="850" t="s">
        <v>237</v>
      </c>
      <c r="B27" s="1013">
        <f t="shared" si="0"/>
        <v>174</v>
      </c>
      <c r="C27" s="1014">
        <v>34</v>
      </c>
      <c r="D27" s="1016" t="s">
        <v>295</v>
      </c>
      <c r="E27" s="1016" t="s">
        <v>295</v>
      </c>
      <c r="F27" s="1016" t="s">
        <v>295</v>
      </c>
      <c r="G27" s="1016" t="s">
        <v>295</v>
      </c>
      <c r="H27" s="1016" t="s">
        <v>36</v>
      </c>
      <c r="I27" s="1016" t="s">
        <v>36</v>
      </c>
      <c r="J27" s="1017" t="s">
        <v>36</v>
      </c>
      <c r="K27" s="853">
        <f t="shared" si="1"/>
        <v>34</v>
      </c>
      <c r="L27" s="1018">
        <v>11</v>
      </c>
      <c r="M27" s="1076">
        <v>129</v>
      </c>
    </row>
    <row r="28" spans="1:13" s="846" customFormat="1" ht="14.25" customHeight="1">
      <c r="A28" s="850" t="s">
        <v>238</v>
      </c>
      <c r="B28" s="1013">
        <f t="shared" si="0"/>
        <v>6</v>
      </c>
      <c r="C28" s="1014">
        <v>6</v>
      </c>
      <c r="D28" s="1016" t="s">
        <v>295</v>
      </c>
      <c r="E28" s="1016" t="s">
        <v>295</v>
      </c>
      <c r="F28" s="1016" t="s">
        <v>295</v>
      </c>
      <c r="G28" s="1016" t="s">
        <v>295</v>
      </c>
      <c r="H28" s="1016" t="s">
        <v>36</v>
      </c>
      <c r="I28" s="1016" t="s">
        <v>36</v>
      </c>
      <c r="J28" s="1017" t="s">
        <v>36</v>
      </c>
      <c r="K28" s="853">
        <f t="shared" si="1"/>
        <v>6</v>
      </c>
      <c r="L28" s="1016" t="s">
        <v>295</v>
      </c>
      <c r="M28" s="1173" t="s">
        <v>36</v>
      </c>
    </row>
    <row r="29" spans="1:13" s="846" customFormat="1" ht="12.75" customHeight="1">
      <c r="A29" s="850" t="s">
        <v>325</v>
      </c>
      <c r="B29" s="1013">
        <f t="shared" si="0"/>
        <v>35</v>
      </c>
      <c r="C29" s="1019" t="s">
        <v>295</v>
      </c>
      <c r="D29" s="1016" t="s">
        <v>295</v>
      </c>
      <c r="E29" s="1016" t="s">
        <v>295</v>
      </c>
      <c r="F29" s="1016" t="s">
        <v>295</v>
      </c>
      <c r="G29" s="1016" t="s">
        <v>295</v>
      </c>
      <c r="H29" s="1016" t="s">
        <v>36</v>
      </c>
      <c r="I29" s="1016" t="s">
        <v>36</v>
      </c>
      <c r="J29" s="1017" t="s">
        <v>36</v>
      </c>
      <c r="K29" s="1171">
        <v>0</v>
      </c>
      <c r="L29" s="1016" t="s">
        <v>295</v>
      </c>
      <c r="M29" s="1076">
        <v>35</v>
      </c>
    </row>
    <row r="30" spans="1:13" s="846" customFormat="1" ht="14.25" customHeight="1">
      <c r="A30" s="850" t="s">
        <v>326</v>
      </c>
      <c r="B30" s="1013">
        <f t="shared" si="0"/>
        <v>67</v>
      </c>
      <c r="C30" s="1019" t="s">
        <v>295</v>
      </c>
      <c r="D30" s="1016" t="s">
        <v>295</v>
      </c>
      <c r="E30" s="1016" t="s">
        <v>295</v>
      </c>
      <c r="F30" s="1016" t="s">
        <v>295</v>
      </c>
      <c r="G30" s="1016" t="s">
        <v>295</v>
      </c>
      <c r="H30" s="1016" t="s">
        <v>36</v>
      </c>
      <c r="I30" s="1016" t="s">
        <v>36</v>
      </c>
      <c r="J30" s="1017" t="s">
        <v>36</v>
      </c>
      <c r="K30" s="1171">
        <v>0</v>
      </c>
      <c r="L30" s="1018">
        <v>47</v>
      </c>
      <c r="M30" s="1076">
        <v>20</v>
      </c>
    </row>
    <row r="31" spans="1:13" s="846" customFormat="1" ht="13.5" customHeight="1">
      <c r="A31" s="850" t="s">
        <v>406</v>
      </c>
      <c r="B31" s="1013">
        <f t="shared" si="0"/>
        <v>219</v>
      </c>
      <c r="C31" s="1014">
        <v>191</v>
      </c>
      <c r="D31" s="1079">
        <v>28</v>
      </c>
      <c r="E31" s="1016" t="s">
        <v>295</v>
      </c>
      <c r="F31" s="1016" t="s">
        <v>295</v>
      </c>
      <c r="G31" s="1016" t="s">
        <v>295</v>
      </c>
      <c r="H31" s="1016" t="s">
        <v>36</v>
      </c>
      <c r="I31" s="1016" t="s">
        <v>36</v>
      </c>
      <c r="J31" s="1017" t="s">
        <v>36</v>
      </c>
      <c r="K31" s="853">
        <f t="shared" si="1"/>
        <v>219</v>
      </c>
      <c r="L31" s="1016" t="s">
        <v>295</v>
      </c>
      <c r="M31" s="1173" t="s">
        <v>36</v>
      </c>
    </row>
    <row r="32" spans="1:13" s="846" customFormat="1" ht="14.25" customHeight="1">
      <c r="A32" s="850" t="s">
        <v>239</v>
      </c>
      <c r="B32" s="1013">
        <f t="shared" si="0"/>
        <v>1119</v>
      </c>
      <c r="C32" s="1014">
        <v>464</v>
      </c>
      <c r="D32" s="1016" t="s">
        <v>295</v>
      </c>
      <c r="E32" s="1016" t="s">
        <v>295</v>
      </c>
      <c r="F32" s="1016" t="s">
        <v>295</v>
      </c>
      <c r="G32" s="1016" t="s">
        <v>295</v>
      </c>
      <c r="H32" s="1016" t="s">
        <v>36</v>
      </c>
      <c r="I32" s="1016" t="s">
        <v>36</v>
      </c>
      <c r="J32" s="1017" t="s">
        <v>36</v>
      </c>
      <c r="K32" s="853">
        <f t="shared" si="1"/>
        <v>464</v>
      </c>
      <c r="L32" s="1018">
        <v>28</v>
      </c>
      <c r="M32" s="1076">
        <v>627</v>
      </c>
    </row>
    <row r="33" spans="1:13" s="846" customFormat="1" ht="11.25" customHeight="1">
      <c r="A33" s="850" t="s">
        <v>240</v>
      </c>
      <c r="B33" s="1013">
        <f t="shared" si="0"/>
        <v>918</v>
      </c>
      <c r="C33" s="1014">
        <v>397</v>
      </c>
      <c r="D33" s="1016" t="s">
        <v>295</v>
      </c>
      <c r="E33" s="1016" t="s">
        <v>295</v>
      </c>
      <c r="F33" s="1016" t="s">
        <v>295</v>
      </c>
      <c r="G33" s="1016" t="s">
        <v>295</v>
      </c>
      <c r="H33" s="1016" t="s">
        <v>36</v>
      </c>
      <c r="I33" s="1016" t="s">
        <v>36</v>
      </c>
      <c r="J33" s="1017" t="s">
        <v>36</v>
      </c>
      <c r="K33" s="853">
        <f t="shared" si="1"/>
        <v>397</v>
      </c>
      <c r="L33" s="1018">
        <v>36</v>
      </c>
      <c r="M33" s="1076">
        <v>485</v>
      </c>
    </row>
    <row r="34" spans="1:13" s="846" customFormat="1" ht="14.25" customHeight="1">
      <c r="A34" s="850" t="s">
        <v>241</v>
      </c>
      <c r="B34" s="1013">
        <f t="shared" si="0"/>
        <v>271</v>
      </c>
      <c r="C34" s="1014">
        <v>125</v>
      </c>
      <c r="D34" s="1016" t="s">
        <v>295</v>
      </c>
      <c r="E34" s="1016" t="s">
        <v>295</v>
      </c>
      <c r="F34" s="1016" t="s">
        <v>295</v>
      </c>
      <c r="G34" s="1016" t="s">
        <v>295</v>
      </c>
      <c r="H34" s="1016" t="s">
        <v>36</v>
      </c>
      <c r="I34" s="1079">
        <v>85</v>
      </c>
      <c r="J34" s="1017" t="s">
        <v>36</v>
      </c>
      <c r="K34" s="853">
        <f t="shared" si="1"/>
        <v>210</v>
      </c>
      <c r="L34" s="1018">
        <v>6</v>
      </c>
      <c r="M34" s="1076">
        <v>55</v>
      </c>
    </row>
    <row r="35" spans="1:13" s="846" customFormat="1" ht="14.25" customHeight="1">
      <c r="A35" s="850" t="s">
        <v>242</v>
      </c>
      <c r="B35" s="1013">
        <f t="shared" si="0"/>
        <v>1443</v>
      </c>
      <c r="C35" s="1014">
        <v>195</v>
      </c>
      <c r="D35" s="1020">
        <v>247</v>
      </c>
      <c r="E35" s="1016" t="s">
        <v>295</v>
      </c>
      <c r="F35" s="1016" t="s">
        <v>295</v>
      </c>
      <c r="G35" s="1079">
        <v>60</v>
      </c>
      <c r="H35" s="1016" t="s">
        <v>36</v>
      </c>
      <c r="I35" s="1020">
        <v>194</v>
      </c>
      <c r="J35" s="1017" t="s">
        <v>36</v>
      </c>
      <c r="K35" s="853">
        <f t="shared" si="1"/>
        <v>696</v>
      </c>
      <c r="L35" s="1018">
        <v>100</v>
      </c>
      <c r="M35" s="1076">
        <v>647</v>
      </c>
    </row>
    <row r="36" spans="1:13" s="846" customFormat="1" ht="14.25" customHeight="1">
      <c r="A36" s="850" t="s">
        <v>243</v>
      </c>
      <c r="B36" s="1013">
        <f t="shared" si="0"/>
        <v>548</v>
      </c>
      <c r="C36" s="1019" t="s">
        <v>295</v>
      </c>
      <c r="D36" s="1020">
        <v>24</v>
      </c>
      <c r="E36" s="1016" t="s">
        <v>295</v>
      </c>
      <c r="F36" s="1016" t="s">
        <v>295</v>
      </c>
      <c r="G36" s="1016" t="s">
        <v>295</v>
      </c>
      <c r="H36" s="1016" t="s">
        <v>36</v>
      </c>
      <c r="I36" s="1016" t="s">
        <v>36</v>
      </c>
      <c r="J36" s="1017" t="s">
        <v>36</v>
      </c>
      <c r="K36" s="853">
        <f t="shared" si="1"/>
        <v>24</v>
      </c>
      <c r="L36" s="1018">
        <v>75</v>
      </c>
      <c r="M36" s="1076">
        <v>449</v>
      </c>
    </row>
    <row r="37" spans="1:13" s="846" customFormat="1" ht="15.75" customHeight="1">
      <c r="A37" s="855" t="s">
        <v>5</v>
      </c>
      <c r="B37" s="1021">
        <f t="shared" si="0"/>
        <v>38623</v>
      </c>
      <c r="C37" s="1081">
        <f aca="true" t="shared" si="2" ref="C37:I37">SUM(C6:C36)</f>
        <v>8469</v>
      </c>
      <c r="D37" s="856">
        <f t="shared" si="2"/>
        <v>2517</v>
      </c>
      <c r="E37" s="856">
        <f t="shared" si="2"/>
        <v>4196</v>
      </c>
      <c r="F37" s="856">
        <f t="shared" si="2"/>
        <v>539</v>
      </c>
      <c r="G37" s="856">
        <f t="shared" si="2"/>
        <v>379</v>
      </c>
      <c r="H37" s="1026">
        <f t="shared" si="2"/>
        <v>783</v>
      </c>
      <c r="I37" s="1082">
        <f t="shared" si="2"/>
        <v>422</v>
      </c>
      <c r="J37" s="1027">
        <f>SUM(J7:J36)</f>
        <v>67</v>
      </c>
      <c r="K37" s="857">
        <f>SUM(C37:J37)</f>
        <v>17372</v>
      </c>
      <c r="L37" s="1022">
        <f>SUM(L6:L36)</f>
        <v>10003</v>
      </c>
      <c r="M37" s="1078">
        <f>SUM(M6:M36)</f>
        <v>11248</v>
      </c>
    </row>
    <row r="38" spans="1:13" s="846" customFormat="1" ht="7.5" customHeight="1">
      <c r="A38" s="858"/>
      <c r="B38" s="858"/>
      <c r="C38" s="852"/>
      <c r="D38" s="852"/>
      <c r="E38" s="852"/>
      <c r="F38" s="852"/>
      <c r="G38" s="852"/>
      <c r="H38" s="852"/>
      <c r="I38" s="852"/>
      <c r="J38" s="852"/>
      <c r="K38" s="852"/>
      <c r="L38" s="852"/>
      <c r="M38" s="852"/>
    </row>
    <row r="39" spans="1:13" s="846" customFormat="1" ht="17.25" customHeight="1">
      <c r="A39" s="859" t="s">
        <v>245</v>
      </c>
      <c r="B39" s="859"/>
      <c r="C39" s="852"/>
      <c r="D39" s="852"/>
      <c r="E39" s="852"/>
      <c r="F39" s="852"/>
      <c r="G39" s="861"/>
      <c r="H39" s="862"/>
      <c r="I39" s="852"/>
      <c r="J39" s="852"/>
      <c r="K39" s="852"/>
      <c r="L39" s="852"/>
      <c r="M39" s="852"/>
    </row>
    <row r="40" spans="1:2" ht="17.25" customHeight="1">
      <c r="A40" s="13" t="s">
        <v>465</v>
      </c>
      <c r="B40" s="860"/>
    </row>
    <row r="41" ht="10.5" customHeight="1">
      <c r="M41" s="863"/>
    </row>
  </sheetData>
  <sheetProtection/>
  <mergeCells count="6">
    <mergeCell ref="A3:A5"/>
    <mergeCell ref="L3:L5"/>
    <mergeCell ref="M3:M5"/>
    <mergeCell ref="B3:B5"/>
    <mergeCell ref="K4:K5"/>
    <mergeCell ref="C3:K3"/>
  </mergeCells>
  <printOptions/>
  <pageMargins left="0.5" right="0" top="0.43" bottom="0.33" header="0.2" footer="0.2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1">
      <selection activeCell="F47" sqref="F47"/>
    </sheetView>
  </sheetViews>
  <sheetFormatPr defaultColWidth="9.140625" defaultRowHeight="12.75"/>
  <cols>
    <col min="1" max="1" width="26.00390625" style="846" customWidth="1"/>
    <col min="2" max="2" width="9.421875" style="846" customWidth="1"/>
    <col min="3" max="4" width="7.28125" style="845" customWidth="1"/>
    <col min="5" max="5" width="6.421875" style="845" customWidth="1"/>
    <col min="6" max="6" width="7.57421875" style="845" customWidth="1"/>
    <col min="7" max="7" width="6.140625" style="845" customWidth="1"/>
    <col min="8" max="8" width="5.8515625" style="845" customWidth="1"/>
    <col min="9" max="9" width="6.57421875" style="845" customWidth="1"/>
    <col min="10" max="10" width="10.421875" style="845" customWidth="1"/>
    <col min="11" max="11" width="6.140625" style="845" customWidth="1"/>
    <col min="12" max="12" width="5.7109375" style="845" customWidth="1"/>
    <col min="13" max="13" width="9.7109375" style="845" customWidth="1"/>
    <col min="14" max="14" width="13.8515625" style="845" customWidth="1"/>
    <col min="15" max="15" width="8.28125" style="845" customWidth="1"/>
    <col min="16" max="16" width="6.7109375" style="845" customWidth="1"/>
    <col min="17" max="16384" width="9.140625" style="845" customWidth="1"/>
  </cols>
  <sheetData>
    <row r="1" s="1176" customFormat="1" ht="24" customHeight="1">
      <c r="A1" s="1176" t="s">
        <v>410</v>
      </c>
    </row>
    <row r="2" ht="3" customHeight="1"/>
    <row r="3" spans="1:15" ht="24.75" customHeight="1">
      <c r="A3" s="1576" t="s">
        <v>211</v>
      </c>
      <c r="B3" s="1576" t="s">
        <v>5</v>
      </c>
      <c r="C3" s="1584" t="s">
        <v>292</v>
      </c>
      <c r="D3" s="1585"/>
      <c r="E3" s="1585"/>
      <c r="F3" s="1585"/>
      <c r="G3" s="1585"/>
      <c r="H3" s="1585"/>
      <c r="I3" s="1585"/>
      <c r="J3" s="1585"/>
      <c r="K3" s="1585"/>
      <c r="L3" s="1585"/>
      <c r="M3" s="1586"/>
      <c r="N3" s="1579" t="s">
        <v>212</v>
      </c>
      <c r="O3" s="1576" t="s">
        <v>213</v>
      </c>
    </row>
    <row r="4" spans="1:15" ht="5.25" customHeight="1">
      <c r="A4" s="1577"/>
      <c r="B4" s="1577"/>
      <c r="C4" s="1177"/>
      <c r="D4" s="1181"/>
      <c r="E4" s="1181"/>
      <c r="F4" s="1181"/>
      <c r="G4" s="1178"/>
      <c r="H4" s="1181"/>
      <c r="I4" s="1181"/>
      <c r="J4" s="1178"/>
      <c r="K4" s="1181"/>
      <c r="L4" s="1179"/>
      <c r="M4" s="1588" t="s">
        <v>409</v>
      </c>
      <c r="N4" s="1580"/>
      <c r="O4" s="1577"/>
    </row>
    <row r="5" spans="1:15" s="846" customFormat="1" ht="13.5" customHeight="1">
      <c r="A5" s="1578"/>
      <c r="B5" s="1578"/>
      <c r="C5" s="847" t="s">
        <v>244</v>
      </c>
      <c r="D5" s="848" t="s">
        <v>214</v>
      </c>
      <c r="E5" s="848" t="s">
        <v>415</v>
      </c>
      <c r="F5" s="848" t="s">
        <v>215</v>
      </c>
      <c r="G5" s="848" t="s">
        <v>216</v>
      </c>
      <c r="H5" s="848" t="s">
        <v>416</v>
      </c>
      <c r="I5" s="848" t="s">
        <v>217</v>
      </c>
      <c r="J5" s="848" t="s">
        <v>218</v>
      </c>
      <c r="K5" s="848" t="s">
        <v>411</v>
      </c>
      <c r="L5" s="849" t="s">
        <v>220</v>
      </c>
      <c r="M5" s="1589"/>
      <c r="N5" s="1581"/>
      <c r="O5" s="1578"/>
    </row>
    <row r="6" spans="1:26" s="846" customFormat="1" ht="14.25" customHeight="1">
      <c r="A6" s="850" t="s">
        <v>293</v>
      </c>
      <c r="B6" s="1008">
        <f>SUM(C6:O6)-M6</f>
        <v>5249</v>
      </c>
      <c r="C6" s="1009">
        <v>303</v>
      </c>
      <c r="D6" s="1079">
        <v>16</v>
      </c>
      <c r="E6" s="1079"/>
      <c r="F6" s="1016" t="s">
        <v>295</v>
      </c>
      <c r="G6" s="1016" t="s">
        <v>295</v>
      </c>
      <c r="H6" s="1016"/>
      <c r="I6" s="1016" t="s">
        <v>295</v>
      </c>
      <c r="J6" s="1015">
        <v>26</v>
      </c>
      <c r="K6" s="1010" t="s">
        <v>36</v>
      </c>
      <c r="L6" s="1011" t="s">
        <v>36</v>
      </c>
      <c r="M6" s="851">
        <f>SUM(C6:L6)</f>
        <v>345</v>
      </c>
      <c r="N6" s="1012">
        <v>4405</v>
      </c>
      <c r="O6" s="1077">
        <v>499</v>
      </c>
      <c r="Q6" s="1174"/>
      <c r="Z6" s="1175"/>
    </row>
    <row r="7" spans="1:17" s="846" customFormat="1" ht="14.25" customHeight="1">
      <c r="A7" s="1182" t="s">
        <v>221</v>
      </c>
      <c r="B7" s="1013">
        <f aca="true" t="shared" si="0" ref="B7:B39">SUM(C7:O7)-M7</f>
        <v>5301</v>
      </c>
      <c r="C7" s="1014">
        <v>1821</v>
      </c>
      <c r="D7" s="1079">
        <v>1182</v>
      </c>
      <c r="E7" s="1079"/>
      <c r="F7" s="1016" t="s">
        <v>295</v>
      </c>
      <c r="G7" s="1016" t="s">
        <v>295</v>
      </c>
      <c r="H7" s="1016"/>
      <c r="I7" s="1020">
        <v>125</v>
      </c>
      <c r="J7" s="1015">
        <v>308</v>
      </c>
      <c r="K7" s="1016" t="s">
        <v>36</v>
      </c>
      <c r="L7" s="1017" t="s">
        <v>36</v>
      </c>
      <c r="M7" s="853">
        <f>SUM(C7:L7)</f>
        <v>3436</v>
      </c>
      <c r="N7" s="1018">
        <v>1234</v>
      </c>
      <c r="O7" s="1076">
        <v>631</v>
      </c>
      <c r="Q7" s="1174"/>
    </row>
    <row r="8" spans="1:17" s="846" customFormat="1" ht="14.25" customHeight="1">
      <c r="A8" s="850" t="s">
        <v>222</v>
      </c>
      <c r="B8" s="1013">
        <f t="shared" si="0"/>
        <v>378</v>
      </c>
      <c r="C8" s="1014">
        <v>353</v>
      </c>
      <c r="D8" s="1016" t="s">
        <v>295</v>
      </c>
      <c r="E8" s="1016"/>
      <c r="F8" s="1016" t="s">
        <v>295</v>
      </c>
      <c r="G8" s="1016" t="s">
        <v>295</v>
      </c>
      <c r="H8" s="1016"/>
      <c r="I8" s="1016" t="s">
        <v>295</v>
      </c>
      <c r="J8" s="1016" t="s">
        <v>36</v>
      </c>
      <c r="K8" s="1016" t="s">
        <v>36</v>
      </c>
      <c r="L8" s="1017" t="s">
        <v>36</v>
      </c>
      <c r="M8" s="853">
        <f aca="true" t="shared" si="1" ref="M8:M38">SUM(C8:L8)</f>
        <v>353</v>
      </c>
      <c r="N8" s="1185" t="s">
        <v>418</v>
      </c>
      <c r="O8" s="1076">
        <v>25</v>
      </c>
      <c r="Q8" s="1174"/>
    </row>
    <row r="9" spans="1:17" s="846" customFormat="1" ht="14.25" customHeight="1">
      <c r="A9" s="850" t="s">
        <v>223</v>
      </c>
      <c r="B9" s="1013">
        <f t="shared" si="0"/>
        <v>196</v>
      </c>
      <c r="C9" s="1019" t="s">
        <v>295</v>
      </c>
      <c r="D9" s="1016" t="s">
        <v>13</v>
      </c>
      <c r="E9" s="1016"/>
      <c r="F9" s="1016" t="s">
        <v>295</v>
      </c>
      <c r="G9" s="1016" t="s">
        <v>295</v>
      </c>
      <c r="H9" s="1016"/>
      <c r="I9" s="1016" t="s">
        <v>295</v>
      </c>
      <c r="J9" s="1016" t="s">
        <v>36</v>
      </c>
      <c r="K9" s="1016" t="s">
        <v>36</v>
      </c>
      <c r="L9" s="1017" t="s">
        <v>36</v>
      </c>
      <c r="M9" s="1184">
        <v>0</v>
      </c>
      <c r="N9" s="1018">
        <v>14</v>
      </c>
      <c r="O9" s="1076">
        <v>182</v>
      </c>
      <c r="Q9" s="1174"/>
    </row>
    <row r="10" spans="1:17" s="846" customFormat="1" ht="14.25" customHeight="1">
      <c r="A10" s="850" t="s">
        <v>224</v>
      </c>
      <c r="B10" s="1013">
        <f t="shared" si="0"/>
        <v>677</v>
      </c>
      <c r="C10" s="1019" t="s">
        <v>295</v>
      </c>
      <c r="D10" s="1016" t="s">
        <v>13</v>
      </c>
      <c r="E10" s="1016"/>
      <c r="F10" s="1016" t="s">
        <v>295</v>
      </c>
      <c r="G10" s="1020">
        <v>197</v>
      </c>
      <c r="H10" s="1020">
        <v>12</v>
      </c>
      <c r="I10" s="1016" t="s">
        <v>295</v>
      </c>
      <c r="J10" s="1016" t="s">
        <v>36</v>
      </c>
      <c r="K10" s="1186">
        <v>50</v>
      </c>
      <c r="L10" s="1017" t="s">
        <v>36</v>
      </c>
      <c r="M10" s="853">
        <f t="shared" si="1"/>
        <v>259</v>
      </c>
      <c r="N10" s="1018">
        <v>300</v>
      </c>
      <c r="O10" s="1076">
        <v>118</v>
      </c>
      <c r="Q10" s="1174"/>
    </row>
    <row r="11" spans="1:17" s="846" customFormat="1" ht="14.25" customHeight="1">
      <c r="A11" s="850" t="s">
        <v>225</v>
      </c>
      <c r="B11" s="1013">
        <f>SUM(C11:O11)-M11</f>
        <v>1141</v>
      </c>
      <c r="C11" s="1014">
        <v>545</v>
      </c>
      <c r="D11" s="1079">
        <v>254</v>
      </c>
      <c r="E11" s="1079"/>
      <c r="F11" s="1016" t="s">
        <v>295</v>
      </c>
      <c r="G11" s="1016" t="s">
        <v>295</v>
      </c>
      <c r="H11" s="1016"/>
      <c r="I11" s="1020">
        <v>24</v>
      </c>
      <c r="J11" s="1020">
        <v>57</v>
      </c>
      <c r="K11" s="1016" t="s">
        <v>36</v>
      </c>
      <c r="L11" s="1017" t="s">
        <v>36</v>
      </c>
      <c r="M11" s="853">
        <f t="shared" si="1"/>
        <v>880</v>
      </c>
      <c r="N11" s="1018">
        <v>91</v>
      </c>
      <c r="O11" s="1076">
        <v>170</v>
      </c>
      <c r="Q11" s="1174"/>
    </row>
    <row r="12" spans="1:17" s="846" customFormat="1" ht="14.25" customHeight="1">
      <c r="A12" s="850" t="s">
        <v>226</v>
      </c>
      <c r="B12" s="1013">
        <f>SUM(C12:O12)-M12</f>
        <v>3743</v>
      </c>
      <c r="C12" s="1014">
        <v>294</v>
      </c>
      <c r="D12" s="1079">
        <v>11</v>
      </c>
      <c r="E12" s="1016"/>
      <c r="F12" s="1016" t="s">
        <v>295</v>
      </c>
      <c r="G12" s="1016" t="s">
        <v>295</v>
      </c>
      <c r="H12" s="1016"/>
      <c r="I12" s="1079">
        <v>30</v>
      </c>
      <c r="J12" s="1020">
        <v>18</v>
      </c>
      <c r="K12" s="1016" t="s">
        <v>36</v>
      </c>
      <c r="L12" s="1017" t="s">
        <v>36</v>
      </c>
      <c r="M12" s="853">
        <f t="shared" si="1"/>
        <v>353</v>
      </c>
      <c r="N12" s="1018">
        <v>1482</v>
      </c>
      <c r="O12" s="1076">
        <v>1908</v>
      </c>
      <c r="Q12" s="1174"/>
    </row>
    <row r="13" spans="1:17" s="846" customFormat="1" ht="14.25" customHeight="1">
      <c r="A13" s="850" t="s">
        <v>227</v>
      </c>
      <c r="B13" s="1013">
        <f t="shared" si="0"/>
        <v>561</v>
      </c>
      <c r="C13" s="1014">
        <v>86</v>
      </c>
      <c r="D13" s="1079">
        <v>74</v>
      </c>
      <c r="E13" s="1079"/>
      <c r="F13" s="1016" t="s">
        <v>295</v>
      </c>
      <c r="G13" s="1016" t="s">
        <v>295</v>
      </c>
      <c r="H13" s="1016"/>
      <c r="I13" s="1016" t="s">
        <v>295</v>
      </c>
      <c r="J13" s="1016" t="s">
        <v>36</v>
      </c>
      <c r="K13" s="1186">
        <v>23</v>
      </c>
      <c r="L13" s="1017" t="s">
        <v>36</v>
      </c>
      <c r="M13" s="853">
        <f t="shared" si="1"/>
        <v>183</v>
      </c>
      <c r="N13" s="1018">
        <v>137</v>
      </c>
      <c r="O13" s="1076">
        <v>241</v>
      </c>
      <c r="Q13" s="1174"/>
    </row>
    <row r="14" spans="1:17" s="846" customFormat="1" ht="14.25" customHeight="1">
      <c r="A14" s="850" t="s">
        <v>324</v>
      </c>
      <c r="B14" s="1013">
        <f t="shared" si="0"/>
        <v>93</v>
      </c>
      <c r="C14" s="1019" t="s">
        <v>295</v>
      </c>
      <c r="D14" s="1079">
        <v>93</v>
      </c>
      <c r="E14" s="1079"/>
      <c r="F14" s="1016" t="s">
        <v>295</v>
      </c>
      <c r="G14" s="1016" t="s">
        <v>295</v>
      </c>
      <c r="H14" s="1016"/>
      <c r="I14" s="1016" t="s">
        <v>295</v>
      </c>
      <c r="J14" s="1016" t="s">
        <v>36</v>
      </c>
      <c r="K14" s="1016" t="s">
        <v>36</v>
      </c>
      <c r="L14" s="1017" t="s">
        <v>36</v>
      </c>
      <c r="M14" s="853">
        <f t="shared" si="1"/>
        <v>93</v>
      </c>
      <c r="N14" s="1185" t="s">
        <v>418</v>
      </c>
      <c r="O14" s="1017" t="s">
        <v>36</v>
      </c>
      <c r="Q14" s="1174"/>
    </row>
    <row r="15" spans="1:17" s="846" customFormat="1" ht="14.25" customHeight="1">
      <c r="A15" s="850" t="s">
        <v>228</v>
      </c>
      <c r="B15" s="1013">
        <f t="shared" si="0"/>
        <v>252</v>
      </c>
      <c r="C15" s="1019" t="s">
        <v>295</v>
      </c>
      <c r="D15" s="1016" t="s">
        <v>295</v>
      </c>
      <c r="E15" s="1016"/>
      <c r="F15" s="1016" t="s">
        <v>295</v>
      </c>
      <c r="G15" s="1016" t="s">
        <v>295</v>
      </c>
      <c r="H15" s="1016"/>
      <c r="I15" s="1016" t="s">
        <v>295</v>
      </c>
      <c r="J15" s="1016" t="s">
        <v>36</v>
      </c>
      <c r="K15" s="1016" t="s">
        <v>36</v>
      </c>
      <c r="L15" s="1017" t="s">
        <v>36</v>
      </c>
      <c r="M15" s="1184">
        <v>0</v>
      </c>
      <c r="N15" s="1018">
        <v>168</v>
      </c>
      <c r="O15" s="1076">
        <v>84</v>
      </c>
      <c r="P15" s="846" t="s">
        <v>97</v>
      </c>
      <c r="Q15" s="1174"/>
    </row>
    <row r="16" spans="1:17" s="846" customFormat="1" ht="14.25" customHeight="1">
      <c r="A16" s="850" t="s">
        <v>229</v>
      </c>
      <c r="B16" s="1013">
        <f t="shared" si="0"/>
        <v>843</v>
      </c>
      <c r="C16" s="1014">
        <v>497</v>
      </c>
      <c r="D16" s="1079">
        <v>13</v>
      </c>
      <c r="E16" s="1079"/>
      <c r="F16" s="1016"/>
      <c r="G16" s="1016" t="s">
        <v>295</v>
      </c>
      <c r="H16" s="1016"/>
      <c r="I16" s="1016" t="s">
        <v>295</v>
      </c>
      <c r="J16" s="1016" t="s">
        <v>36</v>
      </c>
      <c r="K16" s="1016" t="s">
        <v>36</v>
      </c>
      <c r="L16" s="1017" t="s">
        <v>36</v>
      </c>
      <c r="M16" s="853">
        <f t="shared" si="1"/>
        <v>510</v>
      </c>
      <c r="N16" s="1018">
        <v>72</v>
      </c>
      <c r="O16" s="1076">
        <v>261</v>
      </c>
      <c r="Q16" s="1174"/>
    </row>
    <row r="17" spans="1:17" s="846" customFormat="1" ht="14.25" customHeight="1">
      <c r="A17" s="850" t="s">
        <v>230</v>
      </c>
      <c r="B17" s="1013">
        <f t="shared" si="0"/>
        <v>5205</v>
      </c>
      <c r="C17" s="1014">
        <v>76</v>
      </c>
      <c r="D17" s="1079">
        <v>207</v>
      </c>
      <c r="E17" s="1079"/>
      <c r="F17" s="1079">
        <v>4738</v>
      </c>
      <c r="G17" s="1016" t="s">
        <v>295</v>
      </c>
      <c r="H17" s="1016"/>
      <c r="I17" s="1079">
        <v>3</v>
      </c>
      <c r="J17" s="1016" t="s">
        <v>36</v>
      </c>
      <c r="K17" s="1016" t="s">
        <v>36</v>
      </c>
      <c r="L17" s="1017" t="s">
        <v>36</v>
      </c>
      <c r="M17" s="853">
        <f t="shared" si="1"/>
        <v>5024</v>
      </c>
      <c r="N17" s="1018">
        <v>43</v>
      </c>
      <c r="O17" s="1076">
        <v>138</v>
      </c>
      <c r="Q17" s="1174"/>
    </row>
    <row r="18" spans="1:17" s="846" customFormat="1" ht="14.25" customHeight="1">
      <c r="A18" s="850" t="s">
        <v>328</v>
      </c>
      <c r="B18" s="1013">
        <f t="shared" si="0"/>
        <v>18</v>
      </c>
      <c r="C18" s="1019" t="s">
        <v>295</v>
      </c>
      <c r="D18" s="1079">
        <v>15</v>
      </c>
      <c r="E18" s="1079"/>
      <c r="F18" s="1016" t="s">
        <v>295</v>
      </c>
      <c r="G18" s="1016" t="s">
        <v>295</v>
      </c>
      <c r="H18" s="1016"/>
      <c r="I18" s="1016" t="s">
        <v>295</v>
      </c>
      <c r="J18" s="1016" t="s">
        <v>36</v>
      </c>
      <c r="K18" s="1016" t="s">
        <v>36</v>
      </c>
      <c r="L18" s="1017" t="s">
        <v>36</v>
      </c>
      <c r="M18" s="853">
        <f t="shared" si="1"/>
        <v>15</v>
      </c>
      <c r="N18" s="1017" t="s">
        <v>122</v>
      </c>
      <c r="O18" s="1076">
        <v>3</v>
      </c>
      <c r="Q18" s="1174"/>
    </row>
    <row r="19" spans="1:17" s="846" customFormat="1" ht="14.25" customHeight="1">
      <c r="A19" s="850" t="s">
        <v>231</v>
      </c>
      <c r="B19" s="1013">
        <f t="shared" si="0"/>
        <v>3000</v>
      </c>
      <c r="C19" s="1014">
        <v>1250</v>
      </c>
      <c r="D19" s="1079">
        <v>87</v>
      </c>
      <c r="E19" s="1079"/>
      <c r="F19" s="1016" t="s">
        <v>295</v>
      </c>
      <c r="G19" s="1016" t="s">
        <v>295</v>
      </c>
      <c r="H19" s="1016"/>
      <c r="I19" s="1016" t="s">
        <v>295</v>
      </c>
      <c r="J19" s="1015">
        <v>240</v>
      </c>
      <c r="K19" s="1020">
        <v>28</v>
      </c>
      <c r="L19" s="1017" t="s">
        <v>36</v>
      </c>
      <c r="M19" s="853">
        <f t="shared" si="1"/>
        <v>1605</v>
      </c>
      <c r="N19" s="1018">
        <v>158</v>
      </c>
      <c r="O19" s="1076">
        <v>1237</v>
      </c>
      <c r="Q19" s="1174"/>
    </row>
    <row r="20" spans="1:17" s="846" customFormat="1" ht="14.25" customHeight="1">
      <c r="A20" s="850" t="s">
        <v>327</v>
      </c>
      <c r="B20" s="1013">
        <f t="shared" si="0"/>
        <v>662</v>
      </c>
      <c r="C20" s="1014">
        <v>308</v>
      </c>
      <c r="D20" s="1020">
        <v>144</v>
      </c>
      <c r="E20" s="1020"/>
      <c r="F20" s="1016" t="s">
        <v>295</v>
      </c>
      <c r="G20" s="1016" t="s">
        <v>295</v>
      </c>
      <c r="H20" s="1016"/>
      <c r="I20" s="1016" t="s">
        <v>295</v>
      </c>
      <c r="J20" s="1016" t="s">
        <v>36</v>
      </c>
      <c r="K20" s="1016" t="s">
        <v>36</v>
      </c>
      <c r="L20" s="1080">
        <v>24</v>
      </c>
      <c r="M20" s="853">
        <f t="shared" si="1"/>
        <v>476</v>
      </c>
      <c r="N20" s="1018">
        <v>72</v>
      </c>
      <c r="O20" s="1076">
        <v>114</v>
      </c>
      <c r="Q20" s="1174"/>
    </row>
    <row r="21" spans="1:17" s="846" customFormat="1" ht="14.25" customHeight="1">
      <c r="A21" s="850" t="s">
        <v>232</v>
      </c>
      <c r="B21" s="1013">
        <f t="shared" si="0"/>
        <v>470</v>
      </c>
      <c r="C21" s="1014">
        <v>257</v>
      </c>
      <c r="D21" s="1016" t="s">
        <v>295</v>
      </c>
      <c r="E21" s="1016"/>
      <c r="F21" s="1016" t="s">
        <v>295</v>
      </c>
      <c r="G21" s="1016" t="s">
        <v>295</v>
      </c>
      <c r="H21" s="1020"/>
      <c r="I21" s="1016" t="s">
        <v>295</v>
      </c>
      <c r="J21" s="1016" t="s">
        <v>36</v>
      </c>
      <c r="K21" s="1016" t="s">
        <v>36</v>
      </c>
      <c r="L21" s="1017" t="s">
        <v>36</v>
      </c>
      <c r="M21" s="853">
        <f t="shared" si="1"/>
        <v>257</v>
      </c>
      <c r="N21" s="1018">
        <v>14</v>
      </c>
      <c r="O21" s="1076">
        <v>199</v>
      </c>
      <c r="Q21" s="1174"/>
    </row>
    <row r="22" spans="1:17" s="846" customFormat="1" ht="14.25" customHeight="1">
      <c r="A22" s="850" t="s">
        <v>233</v>
      </c>
      <c r="B22" s="1013">
        <f t="shared" si="0"/>
        <v>3559</v>
      </c>
      <c r="C22" s="1014">
        <v>1004</v>
      </c>
      <c r="D22" s="1020">
        <v>495</v>
      </c>
      <c r="E22" s="1020">
        <v>15</v>
      </c>
      <c r="F22" s="1016" t="s">
        <v>295</v>
      </c>
      <c r="G22" s="1016" t="s">
        <v>295</v>
      </c>
      <c r="H22" s="1016"/>
      <c r="I22" s="1079">
        <v>10</v>
      </c>
      <c r="J22" s="1015">
        <f>163+23</f>
        <v>186</v>
      </c>
      <c r="K22" s="1186">
        <v>113</v>
      </c>
      <c r="L22" s="1017" t="s">
        <v>36</v>
      </c>
      <c r="M22" s="853">
        <f t="shared" si="1"/>
        <v>1823</v>
      </c>
      <c r="N22" s="1018">
        <v>913</v>
      </c>
      <c r="O22" s="1076">
        <v>823</v>
      </c>
      <c r="Q22" s="1174"/>
    </row>
    <row r="23" spans="1:17" s="846" customFormat="1" ht="14.25" customHeight="1">
      <c r="A23" s="854" t="s">
        <v>234</v>
      </c>
      <c r="B23" s="1013">
        <f t="shared" si="0"/>
        <v>1442</v>
      </c>
      <c r="C23" s="1014">
        <v>419</v>
      </c>
      <c r="D23" s="1016" t="s">
        <v>295</v>
      </c>
      <c r="E23" s="1016"/>
      <c r="F23" s="1016" t="s">
        <v>295</v>
      </c>
      <c r="G23" s="1020">
        <v>429</v>
      </c>
      <c r="H23" s="1020"/>
      <c r="I23" s="1020">
        <v>190</v>
      </c>
      <c r="J23" s="1016" t="s">
        <v>36</v>
      </c>
      <c r="K23" s="1016" t="s">
        <v>36</v>
      </c>
      <c r="L23" s="1017" t="s">
        <v>36</v>
      </c>
      <c r="M23" s="853">
        <f t="shared" si="1"/>
        <v>1038</v>
      </c>
      <c r="N23" s="1018">
        <v>204</v>
      </c>
      <c r="O23" s="1076">
        <v>200</v>
      </c>
      <c r="Q23" s="1174"/>
    </row>
    <row r="24" spans="1:17" s="846" customFormat="1" ht="14.25" customHeight="1">
      <c r="A24" s="850" t="s">
        <v>235</v>
      </c>
      <c r="B24" s="1013">
        <f t="shared" si="0"/>
        <v>1328</v>
      </c>
      <c r="C24" s="1014">
        <v>471</v>
      </c>
      <c r="D24" s="1016" t="s">
        <v>295</v>
      </c>
      <c r="E24" s="1016"/>
      <c r="F24" s="1016" t="s">
        <v>295</v>
      </c>
      <c r="G24" s="1016" t="s">
        <v>295</v>
      </c>
      <c r="H24" s="1016"/>
      <c r="I24" s="1016" t="s">
        <v>295</v>
      </c>
      <c r="J24" s="1016" t="s">
        <v>36</v>
      </c>
      <c r="K24" s="1016" t="s">
        <v>36</v>
      </c>
      <c r="L24" s="1017" t="s">
        <v>36</v>
      </c>
      <c r="M24" s="853">
        <f t="shared" si="1"/>
        <v>471</v>
      </c>
      <c r="N24" s="1018">
        <v>360</v>
      </c>
      <c r="O24" s="1076">
        <v>497</v>
      </c>
      <c r="Q24" s="1174"/>
    </row>
    <row r="25" spans="1:17" s="846" customFormat="1" ht="14.25" customHeight="1">
      <c r="A25" s="850" t="s">
        <v>412</v>
      </c>
      <c r="B25" s="1013">
        <f t="shared" si="0"/>
        <v>45</v>
      </c>
      <c r="C25" s="1014">
        <v>35</v>
      </c>
      <c r="D25" s="1016" t="s">
        <v>295</v>
      </c>
      <c r="E25" s="1016"/>
      <c r="F25" s="1016" t="s">
        <v>295</v>
      </c>
      <c r="G25" s="1016" t="s">
        <v>295</v>
      </c>
      <c r="H25" s="1016"/>
      <c r="I25" s="1020">
        <v>10</v>
      </c>
      <c r="J25" s="1016" t="s">
        <v>36</v>
      </c>
      <c r="K25" s="1016" t="s">
        <v>36</v>
      </c>
      <c r="L25" s="1017" t="s">
        <v>36</v>
      </c>
      <c r="M25" s="853">
        <f t="shared" si="1"/>
        <v>45</v>
      </c>
      <c r="N25" s="1017" t="s">
        <v>418</v>
      </c>
      <c r="O25" s="1017" t="s">
        <v>36</v>
      </c>
      <c r="Q25" s="1174"/>
    </row>
    <row r="26" spans="1:17" s="846" customFormat="1" ht="14.25" customHeight="1">
      <c r="A26" s="850" t="s">
        <v>236</v>
      </c>
      <c r="B26" s="1013">
        <f t="shared" si="0"/>
        <v>503</v>
      </c>
      <c r="C26" s="1014">
        <v>266</v>
      </c>
      <c r="D26" s="1079">
        <v>62</v>
      </c>
      <c r="E26" s="1079"/>
      <c r="F26" s="1016" t="s">
        <v>295</v>
      </c>
      <c r="G26" s="1016" t="s">
        <v>295</v>
      </c>
      <c r="H26" s="1016"/>
      <c r="I26" s="1016" t="s">
        <v>295</v>
      </c>
      <c r="J26" s="1016" t="s">
        <v>36</v>
      </c>
      <c r="K26" s="1016" t="s">
        <v>36</v>
      </c>
      <c r="L26" s="1017" t="s">
        <v>36</v>
      </c>
      <c r="M26" s="853">
        <f t="shared" si="1"/>
        <v>328</v>
      </c>
      <c r="N26" s="1018">
        <v>44</v>
      </c>
      <c r="O26" s="1076">
        <v>131</v>
      </c>
      <c r="Q26" s="1174"/>
    </row>
    <row r="27" spans="1:17" s="846" customFormat="1" ht="14.25" customHeight="1">
      <c r="A27" s="850" t="s">
        <v>294</v>
      </c>
      <c r="B27" s="1013">
        <f t="shared" si="0"/>
        <v>1710</v>
      </c>
      <c r="C27" s="1014">
        <v>142</v>
      </c>
      <c r="D27" s="1016" t="s">
        <v>295</v>
      </c>
      <c r="E27" s="1016"/>
      <c r="F27" s="1016" t="s">
        <v>295</v>
      </c>
      <c r="G27" s="1016" t="s">
        <v>295</v>
      </c>
      <c r="H27" s="1016"/>
      <c r="I27" s="1016" t="s">
        <v>295</v>
      </c>
      <c r="J27" s="1016" t="s">
        <v>36</v>
      </c>
      <c r="K27" s="1016" t="s">
        <v>36</v>
      </c>
      <c r="L27" s="1080">
        <v>22</v>
      </c>
      <c r="M27" s="853">
        <f t="shared" si="1"/>
        <v>164</v>
      </c>
      <c r="N27" s="1018">
        <v>592</v>
      </c>
      <c r="O27" s="1076">
        <v>954</v>
      </c>
      <c r="Q27" s="1174"/>
    </row>
    <row r="28" spans="1:17" s="846" customFormat="1" ht="14.25" customHeight="1">
      <c r="A28" s="850" t="s">
        <v>407</v>
      </c>
      <c r="B28" s="1013">
        <f t="shared" si="0"/>
        <v>12</v>
      </c>
      <c r="C28" s="1014">
        <v>12</v>
      </c>
      <c r="D28" s="1016" t="s">
        <v>295</v>
      </c>
      <c r="E28" s="1016"/>
      <c r="F28" s="1016" t="s">
        <v>295</v>
      </c>
      <c r="G28" s="1016" t="s">
        <v>295</v>
      </c>
      <c r="H28" s="1016"/>
      <c r="I28" s="1016" t="s">
        <v>295</v>
      </c>
      <c r="J28" s="1016" t="s">
        <v>36</v>
      </c>
      <c r="K28" s="1016" t="s">
        <v>36</v>
      </c>
      <c r="L28" s="1017" t="s">
        <v>36</v>
      </c>
      <c r="M28" s="853">
        <f t="shared" si="1"/>
        <v>12</v>
      </c>
      <c r="N28" s="1017" t="s">
        <v>418</v>
      </c>
      <c r="O28" s="1017" t="s">
        <v>36</v>
      </c>
      <c r="Q28" s="1174"/>
    </row>
    <row r="29" spans="1:17" s="846" customFormat="1" ht="14.25" customHeight="1">
      <c r="A29" s="850" t="s">
        <v>237</v>
      </c>
      <c r="B29" s="1013">
        <f t="shared" si="0"/>
        <v>174</v>
      </c>
      <c r="C29" s="1014">
        <v>30</v>
      </c>
      <c r="D29" s="1016" t="s">
        <v>295</v>
      </c>
      <c r="E29" s="1016"/>
      <c r="F29" s="1016" t="s">
        <v>295</v>
      </c>
      <c r="G29" s="1016" t="s">
        <v>295</v>
      </c>
      <c r="H29" s="1016"/>
      <c r="I29" s="1016" t="s">
        <v>295</v>
      </c>
      <c r="J29" s="1016" t="s">
        <v>36</v>
      </c>
      <c r="K29" s="1016" t="s">
        <v>36</v>
      </c>
      <c r="L29" s="1017" t="s">
        <v>36</v>
      </c>
      <c r="M29" s="853">
        <f t="shared" si="1"/>
        <v>30</v>
      </c>
      <c r="N29" s="1018">
        <v>17</v>
      </c>
      <c r="O29" s="1076">
        <v>127</v>
      </c>
      <c r="Q29" s="1174"/>
    </row>
    <row r="30" spans="1:17" s="846" customFormat="1" ht="14.25" customHeight="1">
      <c r="A30" s="850" t="s">
        <v>238</v>
      </c>
      <c r="B30" s="1013">
        <f t="shared" si="0"/>
        <v>8</v>
      </c>
      <c r="C30" s="1014">
        <v>6</v>
      </c>
      <c r="D30" s="1016" t="s">
        <v>295</v>
      </c>
      <c r="E30" s="1016"/>
      <c r="F30" s="1016" t="s">
        <v>295</v>
      </c>
      <c r="G30" s="1016" t="s">
        <v>295</v>
      </c>
      <c r="H30" s="1016"/>
      <c r="I30" s="1016" t="s">
        <v>295</v>
      </c>
      <c r="J30" s="1016" t="s">
        <v>36</v>
      </c>
      <c r="K30" s="1016" t="s">
        <v>36</v>
      </c>
      <c r="L30" s="1017" t="s">
        <v>36</v>
      </c>
      <c r="M30" s="853">
        <f t="shared" si="1"/>
        <v>6</v>
      </c>
      <c r="N30" s="1017" t="s">
        <v>122</v>
      </c>
      <c r="O30" s="1183">
        <v>2</v>
      </c>
      <c r="Q30" s="1174"/>
    </row>
    <row r="31" spans="1:17" s="846" customFormat="1" ht="14.25" customHeight="1">
      <c r="A31" s="850" t="s">
        <v>325</v>
      </c>
      <c r="B31" s="1013">
        <f t="shared" si="0"/>
        <v>181</v>
      </c>
      <c r="C31" s="1014">
        <v>107</v>
      </c>
      <c r="D31" s="1016" t="s">
        <v>295</v>
      </c>
      <c r="E31" s="1016"/>
      <c r="F31" s="1016" t="s">
        <v>295</v>
      </c>
      <c r="G31" s="1016" t="s">
        <v>295</v>
      </c>
      <c r="H31" s="1016"/>
      <c r="I31" s="1016" t="s">
        <v>295</v>
      </c>
      <c r="J31" s="1016" t="s">
        <v>36</v>
      </c>
      <c r="K31" s="1016" t="s">
        <v>36</v>
      </c>
      <c r="L31" s="1017" t="s">
        <v>36</v>
      </c>
      <c r="M31" s="853">
        <f t="shared" si="1"/>
        <v>107</v>
      </c>
      <c r="N31" s="1017" t="s">
        <v>122</v>
      </c>
      <c r="O31" s="1076">
        <v>74</v>
      </c>
      <c r="Q31" s="1174"/>
    </row>
    <row r="32" spans="1:17" s="846" customFormat="1" ht="14.25" customHeight="1">
      <c r="A32" s="850" t="s">
        <v>326</v>
      </c>
      <c r="B32" s="1013">
        <f t="shared" si="0"/>
        <v>95</v>
      </c>
      <c r="C32" s="1019" t="s">
        <v>295</v>
      </c>
      <c r="D32" s="1016" t="s">
        <v>295</v>
      </c>
      <c r="E32" s="1016"/>
      <c r="F32" s="1016" t="s">
        <v>295</v>
      </c>
      <c r="G32" s="1016" t="s">
        <v>295</v>
      </c>
      <c r="H32" s="1016"/>
      <c r="I32" s="1016" t="s">
        <v>295</v>
      </c>
      <c r="J32" s="1016" t="s">
        <v>36</v>
      </c>
      <c r="K32" s="1016" t="s">
        <v>36</v>
      </c>
      <c r="L32" s="1017" t="s">
        <v>36</v>
      </c>
      <c r="M32" s="1184">
        <f t="shared" si="1"/>
        <v>0</v>
      </c>
      <c r="N32" s="1018">
        <v>78</v>
      </c>
      <c r="O32" s="1076">
        <v>17</v>
      </c>
      <c r="Q32" s="1174"/>
    </row>
    <row r="33" spans="1:17" s="846" customFormat="1" ht="14.25" customHeight="1">
      <c r="A33" s="850" t="s">
        <v>408</v>
      </c>
      <c r="B33" s="1013">
        <f t="shared" si="0"/>
        <v>212</v>
      </c>
      <c r="C33" s="1014">
        <v>159</v>
      </c>
      <c r="D33" s="1079">
        <v>34</v>
      </c>
      <c r="E33" s="1079"/>
      <c r="F33" s="1016" t="s">
        <v>295</v>
      </c>
      <c r="G33" s="1016" t="s">
        <v>295</v>
      </c>
      <c r="H33" s="1016"/>
      <c r="I33" s="1016" t="s">
        <v>295</v>
      </c>
      <c r="J33" s="1016" t="s">
        <v>36</v>
      </c>
      <c r="K33" s="1016" t="s">
        <v>36</v>
      </c>
      <c r="L33" s="1017" t="s">
        <v>36</v>
      </c>
      <c r="M33" s="853">
        <f t="shared" si="1"/>
        <v>193</v>
      </c>
      <c r="N33" s="1017" t="s">
        <v>417</v>
      </c>
      <c r="O33" s="1076">
        <v>19</v>
      </c>
      <c r="Q33" s="1174"/>
    </row>
    <row r="34" spans="1:17" s="846" customFormat="1" ht="14.25" customHeight="1">
      <c r="A34" s="850" t="s">
        <v>239</v>
      </c>
      <c r="B34" s="1013">
        <f t="shared" si="0"/>
        <v>944</v>
      </c>
      <c r="C34" s="1014">
        <v>519</v>
      </c>
      <c r="D34" s="1016" t="s">
        <v>295</v>
      </c>
      <c r="E34" s="1016"/>
      <c r="F34" s="1016" t="s">
        <v>295</v>
      </c>
      <c r="G34" s="1016" t="s">
        <v>295</v>
      </c>
      <c r="H34" s="1016"/>
      <c r="I34" s="1016" t="s">
        <v>295</v>
      </c>
      <c r="J34" s="1016" t="s">
        <v>36</v>
      </c>
      <c r="K34" s="1016" t="s">
        <v>36</v>
      </c>
      <c r="L34" s="1017" t="s">
        <v>36</v>
      </c>
      <c r="M34" s="853">
        <f t="shared" si="1"/>
        <v>519</v>
      </c>
      <c r="N34" s="1018">
        <v>3</v>
      </c>
      <c r="O34" s="1076">
        <v>422</v>
      </c>
      <c r="Q34" s="1174"/>
    </row>
    <row r="35" spans="1:17" s="846" customFormat="1" ht="14.25" customHeight="1">
      <c r="A35" s="850" t="s">
        <v>240</v>
      </c>
      <c r="B35" s="1013">
        <f t="shared" si="0"/>
        <v>1438</v>
      </c>
      <c r="C35" s="1014">
        <v>337</v>
      </c>
      <c r="D35" s="1016" t="s">
        <v>295</v>
      </c>
      <c r="E35" s="1016"/>
      <c r="F35" s="1016" t="s">
        <v>295</v>
      </c>
      <c r="G35" s="1016" t="s">
        <v>295</v>
      </c>
      <c r="H35" s="1016"/>
      <c r="I35" s="1016" t="s">
        <v>295</v>
      </c>
      <c r="J35" s="1016" t="s">
        <v>36</v>
      </c>
      <c r="K35" s="1016" t="s">
        <v>36</v>
      </c>
      <c r="L35" s="1017" t="s">
        <v>36</v>
      </c>
      <c r="M35" s="853">
        <f t="shared" si="1"/>
        <v>337</v>
      </c>
      <c r="N35" s="1018">
        <v>75</v>
      </c>
      <c r="O35" s="1076">
        <v>1026</v>
      </c>
      <c r="Q35" s="1174"/>
    </row>
    <row r="36" spans="1:17" s="846" customFormat="1" ht="14.25" customHeight="1">
      <c r="A36" s="850" t="s">
        <v>241</v>
      </c>
      <c r="B36" s="1013">
        <f t="shared" si="0"/>
        <v>262</v>
      </c>
      <c r="C36" s="1014">
        <v>156</v>
      </c>
      <c r="D36" s="1016" t="s">
        <v>295</v>
      </c>
      <c r="E36" s="1020">
        <v>11</v>
      </c>
      <c r="F36" s="1016" t="s">
        <v>295</v>
      </c>
      <c r="G36" s="1016" t="s">
        <v>295</v>
      </c>
      <c r="H36" s="1016"/>
      <c r="I36" s="1016" t="s">
        <v>295</v>
      </c>
      <c r="J36" s="1016" t="s">
        <v>36</v>
      </c>
      <c r="K36" s="1079">
        <v>22</v>
      </c>
      <c r="L36" s="1017" t="s">
        <v>36</v>
      </c>
      <c r="M36" s="853">
        <f t="shared" si="1"/>
        <v>189</v>
      </c>
      <c r="N36" s="1018">
        <v>10</v>
      </c>
      <c r="O36" s="1076">
        <v>63</v>
      </c>
      <c r="Q36" s="1174"/>
    </row>
    <row r="37" spans="1:17" s="846" customFormat="1" ht="14.25" customHeight="1">
      <c r="A37" s="850" t="s">
        <v>242</v>
      </c>
      <c r="B37" s="1013">
        <f t="shared" si="0"/>
        <v>1241</v>
      </c>
      <c r="C37" s="1014">
        <v>210</v>
      </c>
      <c r="D37" s="1020">
        <v>227</v>
      </c>
      <c r="E37" s="1020"/>
      <c r="F37" s="1016" t="s">
        <v>295</v>
      </c>
      <c r="G37" s="1016" t="s">
        <v>295</v>
      </c>
      <c r="H37" s="1016"/>
      <c r="I37" s="1079">
        <v>60</v>
      </c>
      <c r="J37" s="1016" t="s">
        <v>36</v>
      </c>
      <c r="K37" s="1020">
        <v>230</v>
      </c>
      <c r="L37" s="1017" t="s">
        <v>36</v>
      </c>
      <c r="M37" s="853">
        <f t="shared" si="1"/>
        <v>727</v>
      </c>
      <c r="N37" s="1018">
        <v>63</v>
      </c>
      <c r="O37" s="1076">
        <v>451</v>
      </c>
      <c r="Q37" s="1174"/>
    </row>
    <row r="38" spans="1:17" s="846" customFormat="1" ht="14.25" customHeight="1">
      <c r="A38" s="850" t="s">
        <v>243</v>
      </c>
      <c r="B38" s="1013">
        <f t="shared" si="0"/>
        <v>541</v>
      </c>
      <c r="C38" s="1019" t="s">
        <v>295</v>
      </c>
      <c r="D38" s="1020">
        <v>104</v>
      </c>
      <c r="E38" s="1020"/>
      <c r="F38" s="1016" t="s">
        <v>295</v>
      </c>
      <c r="G38" s="1016" t="s">
        <v>295</v>
      </c>
      <c r="H38" s="1016"/>
      <c r="I38" s="1016" t="s">
        <v>295</v>
      </c>
      <c r="J38" s="1016" t="s">
        <v>36</v>
      </c>
      <c r="K38" s="1016" t="s">
        <v>36</v>
      </c>
      <c r="L38" s="1017" t="s">
        <v>36</v>
      </c>
      <c r="M38" s="853">
        <f t="shared" si="1"/>
        <v>104</v>
      </c>
      <c r="N38" s="1018">
        <v>114</v>
      </c>
      <c r="O38" s="1076">
        <v>323</v>
      </c>
      <c r="Q38" s="1174"/>
    </row>
    <row r="39" spans="1:17" s="846" customFormat="1" ht="17.25" customHeight="1">
      <c r="A39" s="855" t="s">
        <v>5</v>
      </c>
      <c r="B39" s="1021">
        <f t="shared" si="0"/>
        <v>41484</v>
      </c>
      <c r="C39" s="1081">
        <f aca="true" t="shared" si="2" ref="C39:K39">SUM(C6:C38)</f>
        <v>9663</v>
      </c>
      <c r="D39" s="856">
        <f t="shared" si="2"/>
        <v>3018</v>
      </c>
      <c r="E39" s="856">
        <f t="shared" si="2"/>
        <v>26</v>
      </c>
      <c r="F39" s="856">
        <f t="shared" si="2"/>
        <v>4738</v>
      </c>
      <c r="G39" s="856">
        <f t="shared" si="2"/>
        <v>626</v>
      </c>
      <c r="H39" s="856">
        <f t="shared" si="2"/>
        <v>12</v>
      </c>
      <c r="I39" s="856">
        <f t="shared" si="2"/>
        <v>452</v>
      </c>
      <c r="J39" s="1026">
        <f t="shared" si="2"/>
        <v>835</v>
      </c>
      <c r="K39" s="1082">
        <f t="shared" si="2"/>
        <v>466</v>
      </c>
      <c r="L39" s="1027">
        <f>SUM(L7:L38)</f>
        <v>46</v>
      </c>
      <c r="M39" s="857">
        <f>SUM(C39:L39)</f>
        <v>19882</v>
      </c>
      <c r="N39" s="1022">
        <f>SUM(N6:N38)</f>
        <v>10663</v>
      </c>
      <c r="O39" s="1078">
        <f>SUM(O6:O38)</f>
        <v>10939</v>
      </c>
      <c r="Q39" s="1174"/>
    </row>
    <row r="40" spans="1:15" s="846" customFormat="1" ht="5.25" customHeight="1">
      <c r="A40" s="858"/>
      <c r="B40" s="858"/>
      <c r="C40" s="852"/>
      <c r="D40" s="852"/>
      <c r="E40" s="852"/>
      <c r="F40" s="852"/>
      <c r="G40" s="852"/>
      <c r="H40" s="852"/>
      <c r="I40" s="852"/>
      <c r="J40" s="852"/>
      <c r="K40" s="852"/>
      <c r="L40" s="852"/>
      <c r="M40" s="852"/>
      <c r="N40" s="852"/>
      <c r="O40" s="852"/>
    </row>
    <row r="41" spans="1:15" s="846" customFormat="1" ht="15.75" customHeight="1">
      <c r="A41" s="859" t="s">
        <v>245</v>
      </c>
      <c r="B41" s="859"/>
      <c r="C41" s="852"/>
      <c r="D41" s="852"/>
      <c r="E41" s="852"/>
      <c r="F41" s="1587" t="s">
        <v>413</v>
      </c>
      <c r="G41" s="1587"/>
      <c r="H41" s="1587"/>
      <c r="I41" s="1587"/>
      <c r="J41" s="1587"/>
      <c r="L41" s="852" t="s">
        <v>414</v>
      </c>
      <c r="M41" s="852"/>
      <c r="N41" s="852"/>
      <c r="O41" s="852"/>
    </row>
    <row r="42" spans="1:17" ht="15.75" customHeight="1">
      <c r="A42" s="860" t="s">
        <v>464</v>
      </c>
      <c r="B42" s="860"/>
      <c r="Q42" s="863"/>
    </row>
    <row r="43" ht="15">
      <c r="O43" s="863"/>
    </row>
  </sheetData>
  <sheetProtection/>
  <mergeCells count="7">
    <mergeCell ref="F41:J41"/>
    <mergeCell ref="A3:A5"/>
    <mergeCell ref="B3:B5"/>
    <mergeCell ref="N3:N5"/>
    <mergeCell ref="O3:O5"/>
    <mergeCell ref="M4:M5"/>
    <mergeCell ref="C3:M3"/>
  </mergeCells>
  <printOptions/>
  <pageMargins left="0.25" right="0" top="0.5" bottom="0.2" header="0.5" footer="0.5"/>
  <pageSetup horizontalDpi="300" verticalDpi="300" orientation="landscape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G45" sqref="G45"/>
    </sheetView>
  </sheetViews>
  <sheetFormatPr defaultColWidth="9.140625" defaultRowHeight="12.75"/>
  <cols>
    <col min="1" max="1" width="1.8515625" style="1206" customWidth="1"/>
    <col min="2" max="2" width="34.28125" style="1206" customWidth="1"/>
    <col min="3" max="3" width="10.140625" style="1207" customWidth="1"/>
    <col min="4" max="4" width="8.28125" style="1208" customWidth="1"/>
    <col min="5" max="5" width="9.421875" style="1208" customWidth="1"/>
    <col min="6" max="6" width="7.57421875" style="1208" customWidth="1"/>
    <col min="7" max="7" width="10.421875" style="1206" customWidth="1"/>
    <col min="8" max="8" width="9.140625" style="1206" customWidth="1"/>
    <col min="9" max="16384" width="9.140625" style="1206" customWidth="1"/>
  </cols>
  <sheetData>
    <row r="1" ht="15.75" customHeight="1">
      <c r="A1" s="1205" t="s">
        <v>455</v>
      </c>
    </row>
    <row r="2" ht="11.25" customHeight="1">
      <c r="A2" s="1205"/>
    </row>
    <row r="3" spans="2:8" ht="12.75" customHeight="1">
      <c r="B3" s="1205"/>
      <c r="H3" s="1208" t="s">
        <v>0</v>
      </c>
    </row>
    <row r="4" spans="1:8" ht="21" customHeight="1">
      <c r="A4" s="1209"/>
      <c r="B4" s="1210"/>
      <c r="C4" s="1302" t="s">
        <v>437</v>
      </c>
      <c r="D4" s="1303"/>
      <c r="E4" s="1302" t="s">
        <v>438</v>
      </c>
      <c r="F4" s="1303"/>
      <c r="G4" s="1302" t="s">
        <v>439</v>
      </c>
      <c r="H4" s="1303"/>
    </row>
    <row r="5" spans="1:8" s="1213" customFormat="1" ht="26.25" customHeight="1">
      <c r="A5" s="1211"/>
      <c r="B5" s="1212" t="s">
        <v>1</v>
      </c>
      <c r="C5" s="1304">
        <v>76215.2</v>
      </c>
      <c r="D5" s="1305"/>
      <c r="E5" s="1304">
        <v>38652.6</v>
      </c>
      <c r="F5" s="1305"/>
      <c r="G5" s="1304">
        <v>85348.2</v>
      </c>
      <c r="H5" s="1305"/>
    </row>
    <row r="6" spans="1:8" ht="21.75" customHeight="1">
      <c r="A6" s="1214"/>
      <c r="B6" s="1215" t="s">
        <v>251</v>
      </c>
      <c r="C6" s="1300"/>
      <c r="D6" s="1301"/>
      <c r="E6" s="1216"/>
      <c r="F6" s="1216"/>
      <c r="G6" s="1300"/>
      <c r="H6" s="1301"/>
    </row>
    <row r="7" spans="1:8" ht="24" customHeight="1">
      <c r="A7" s="1214"/>
      <c r="B7" s="1215" t="s">
        <v>440</v>
      </c>
      <c r="C7" s="1300">
        <v>9488.5</v>
      </c>
      <c r="D7" s="1301"/>
      <c r="E7" s="1300">
        <v>5114</v>
      </c>
      <c r="F7" s="1301"/>
      <c r="G7" s="1300">
        <v>10466.7</v>
      </c>
      <c r="H7" s="1301"/>
    </row>
    <row r="8" spans="1:8" ht="6.75" customHeight="1">
      <c r="A8" s="1217"/>
      <c r="B8" s="1218"/>
      <c r="C8" s="1219"/>
      <c r="D8" s="1220"/>
      <c r="E8" s="1221"/>
      <c r="F8" s="1221"/>
      <c r="G8" s="1219"/>
      <c r="H8" s="1220"/>
    </row>
    <row r="9" spans="1:6" ht="11.25" customHeight="1">
      <c r="A9" s="1222"/>
      <c r="B9" s="1223"/>
      <c r="C9" s="1224"/>
      <c r="D9" s="1225"/>
      <c r="E9" s="1226"/>
      <c r="F9" s="1226"/>
    </row>
    <row r="10" spans="1:6" ht="9" customHeight="1">
      <c r="A10" s="1222"/>
      <c r="B10" s="1227"/>
      <c r="C10" s="1228"/>
      <c r="D10" s="1228"/>
      <c r="E10" s="1228"/>
      <c r="F10" s="1228"/>
    </row>
    <row r="11" ht="21" customHeight="1">
      <c r="A11" s="1229" t="s">
        <v>456</v>
      </c>
    </row>
    <row r="12" spans="2:8" ht="18.75" customHeight="1">
      <c r="B12" s="1229"/>
      <c r="H12" s="1208" t="s">
        <v>0</v>
      </c>
    </row>
    <row r="13" spans="1:8" ht="19.5" customHeight="1">
      <c r="A13" s="1209"/>
      <c r="B13" s="1230"/>
      <c r="C13" s="1302" t="s">
        <v>441</v>
      </c>
      <c r="D13" s="1303"/>
      <c r="E13" s="1302" t="s">
        <v>438</v>
      </c>
      <c r="F13" s="1303"/>
      <c r="G13" s="1302" t="s">
        <v>442</v>
      </c>
      <c r="H13" s="1303"/>
    </row>
    <row r="14" spans="1:8" ht="19.5" customHeight="1">
      <c r="A14" s="1214"/>
      <c r="B14" s="1231"/>
      <c r="C14" s="1232" t="s">
        <v>6</v>
      </c>
      <c r="D14" s="1233" t="s">
        <v>7</v>
      </c>
      <c r="E14" s="1232" t="s">
        <v>6</v>
      </c>
      <c r="F14" s="1233" t="s">
        <v>7</v>
      </c>
      <c r="G14" s="1232" t="s">
        <v>6</v>
      </c>
      <c r="H14" s="1233" t="s">
        <v>7</v>
      </c>
    </row>
    <row r="15" spans="1:8" ht="21" customHeight="1">
      <c r="A15" s="1214"/>
      <c r="B15" s="1234" t="s">
        <v>443</v>
      </c>
      <c r="C15" s="1235"/>
      <c r="D15" s="1236"/>
      <c r="E15" s="1237"/>
      <c r="F15" s="1236"/>
      <c r="G15" s="1238"/>
      <c r="H15" s="1236"/>
    </row>
    <row r="16" spans="1:8" ht="21" customHeight="1">
      <c r="A16" s="1214"/>
      <c r="B16" s="1239" t="s">
        <v>3</v>
      </c>
      <c r="C16" s="1240">
        <f>SUM(C17:C23)</f>
        <v>9488.5</v>
      </c>
      <c r="D16" s="1241">
        <f>(C16/$C$32)*100</f>
        <v>89.3035294117647</v>
      </c>
      <c r="E16" s="1240">
        <f>SUM(E17:E23)</f>
        <v>5114.000000000001</v>
      </c>
      <c r="F16" s="1241">
        <f>(E16/$E$32)*100</f>
        <v>89.91332172934578</v>
      </c>
      <c r="G16" s="1242">
        <f>SUM(G17:G23)</f>
        <v>10466.699999999999</v>
      </c>
      <c r="H16" s="1241">
        <f>(G16/$G$32)*100</f>
        <v>90.45474972345133</v>
      </c>
    </row>
    <row r="17" spans="1:8" ht="21" customHeight="1">
      <c r="A17" s="1214"/>
      <c r="B17" s="1243" t="s">
        <v>8</v>
      </c>
      <c r="C17" s="1244">
        <v>137.8</v>
      </c>
      <c r="D17" s="1245">
        <f aca="true" t="shared" si="0" ref="D17:D30">C17/$C$32*100</f>
        <v>1.2969411764705885</v>
      </c>
      <c r="E17" s="1246">
        <v>74.1</v>
      </c>
      <c r="F17" s="1245">
        <f aca="true" t="shared" si="1" ref="F17:F31">E17/$E$32*100</f>
        <v>1.3028113297114823</v>
      </c>
      <c r="G17" s="1244">
        <v>152.5</v>
      </c>
      <c r="H17" s="1245">
        <f>G17/$G$32*100</f>
        <v>1.3179272676991152</v>
      </c>
    </row>
    <row r="18" spans="1:8" ht="21" customHeight="1">
      <c r="A18" s="1214"/>
      <c r="B18" s="1243" t="s">
        <v>9</v>
      </c>
      <c r="C18" s="1244">
        <v>2571.7</v>
      </c>
      <c r="D18" s="1245">
        <f t="shared" si="0"/>
        <v>24.204235294117645</v>
      </c>
      <c r="E18" s="1244">
        <v>1512.1</v>
      </c>
      <c r="F18" s="1245">
        <f t="shared" si="1"/>
        <v>26.58543875380206</v>
      </c>
      <c r="G18" s="1244">
        <v>3020.1</v>
      </c>
      <c r="H18" s="1245">
        <f aca="true" t="shared" si="2" ref="H18:H23">G18/$G$32*100</f>
        <v>26.100145188053098</v>
      </c>
    </row>
    <row r="19" spans="1:8" ht="21" customHeight="1">
      <c r="A19" s="1214"/>
      <c r="B19" s="1243" t="s">
        <v>10</v>
      </c>
      <c r="C19" s="1244">
        <v>4958.3</v>
      </c>
      <c r="D19" s="1245">
        <f t="shared" si="0"/>
        <v>46.66635294117647</v>
      </c>
      <c r="E19" s="1244">
        <v>2684.2</v>
      </c>
      <c r="F19" s="1245">
        <f t="shared" si="1"/>
        <v>47.193065738347656</v>
      </c>
      <c r="G19" s="1244">
        <v>5306.4</v>
      </c>
      <c r="H19" s="1245">
        <f t="shared" si="2"/>
        <v>45.85868362831859</v>
      </c>
    </row>
    <row r="20" spans="1:8" ht="21" customHeight="1">
      <c r="A20" s="1214"/>
      <c r="B20" s="1243" t="s">
        <v>11</v>
      </c>
      <c r="C20" s="1244">
        <v>445.5</v>
      </c>
      <c r="D20" s="1245">
        <f t="shared" si="0"/>
        <v>4.192941176470589</v>
      </c>
      <c r="E20" s="1244">
        <v>232.1</v>
      </c>
      <c r="F20" s="1245">
        <f t="shared" si="1"/>
        <v>4.080735622483604</v>
      </c>
      <c r="G20" s="1244">
        <v>448.9</v>
      </c>
      <c r="H20" s="1245">
        <f t="shared" si="2"/>
        <v>3.879459347345133</v>
      </c>
    </row>
    <row r="21" spans="1:8" ht="21" customHeight="1">
      <c r="A21" s="1214"/>
      <c r="B21" s="1243" t="s">
        <v>252</v>
      </c>
      <c r="C21" s="1244">
        <v>803.3</v>
      </c>
      <c r="D21" s="1245">
        <f t="shared" si="0"/>
        <v>7.560470588235294</v>
      </c>
      <c r="E21" s="1244">
        <v>455.1</v>
      </c>
      <c r="F21" s="1245">
        <f t="shared" si="1"/>
        <v>8.00147687114299</v>
      </c>
      <c r="G21" s="1244">
        <v>1046.3</v>
      </c>
      <c r="H21" s="1245">
        <f t="shared" si="2"/>
        <v>9.042277378318584</v>
      </c>
    </row>
    <row r="22" spans="1:8" ht="21" customHeight="1">
      <c r="A22" s="1214"/>
      <c r="B22" s="1247" t="s">
        <v>444</v>
      </c>
      <c r="C22" s="1244">
        <v>308.5</v>
      </c>
      <c r="D22" s="1245">
        <f t="shared" si="0"/>
        <v>2.9035294117647057</v>
      </c>
      <c r="E22" s="1244">
        <v>29.3</v>
      </c>
      <c r="F22" s="1245">
        <f t="shared" si="1"/>
        <v>0.5151467201153366</v>
      </c>
      <c r="G22" s="1244">
        <v>202.4</v>
      </c>
      <c r="H22" s="1245">
        <f t="shared" si="2"/>
        <v>1.749170353982301</v>
      </c>
    </row>
    <row r="23" spans="1:8" ht="21" customHeight="1">
      <c r="A23" s="1214"/>
      <c r="B23" s="1243" t="s">
        <v>253</v>
      </c>
      <c r="C23" s="1244">
        <v>263.4</v>
      </c>
      <c r="D23" s="1245">
        <f t="shared" si="0"/>
        <v>2.4790588235294115</v>
      </c>
      <c r="E23" s="1244">
        <v>127.1</v>
      </c>
      <c r="F23" s="1245">
        <f t="shared" si="1"/>
        <v>2.2346466937426372</v>
      </c>
      <c r="G23" s="1244">
        <v>290.1</v>
      </c>
      <c r="H23" s="1245">
        <f t="shared" si="2"/>
        <v>2.5070865597345136</v>
      </c>
    </row>
    <row r="24" spans="1:8" ht="21" customHeight="1">
      <c r="A24" s="1214"/>
      <c r="B24" s="1234" t="s">
        <v>254</v>
      </c>
      <c r="C24" s="1248">
        <f>C25+C26+C27+C28+C29+C30</f>
        <v>212.20000000000002</v>
      </c>
      <c r="D24" s="1241">
        <f t="shared" si="0"/>
        <v>1.9971764705882356</v>
      </c>
      <c r="E24" s="1248">
        <f>E25+E26+E27+E28+E29+E30</f>
        <v>94.2</v>
      </c>
      <c r="F24" s="1241">
        <f t="shared" si="1"/>
        <v>1.6562054960704675</v>
      </c>
      <c r="G24" s="1248">
        <f>G25+G26+G27+G28+G29+G30</f>
        <v>199.3</v>
      </c>
      <c r="H24" s="1241">
        <f>G24/$G$32*100</f>
        <v>1.722379701327434</v>
      </c>
    </row>
    <row r="25" spans="1:8" ht="21" customHeight="1">
      <c r="A25" s="1214"/>
      <c r="B25" s="1249" t="s">
        <v>12</v>
      </c>
      <c r="C25" s="1244">
        <v>4.3</v>
      </c>
      <c r="D25" s="1245">
        <f t="shared" si="0"/>
        <v>0.04047058823529411</v>
      </c>
      <c r="E25" s="1244">
        <v>2.3</v>
      </c>
      <c r="F25" s="1245">
        <f t="shared" si="1"/>
        <v>0.04043813843908785</v>
      </c>
      <c r="G25" s="1244">
        <v>4.6</v>
      </c>
      <c r="H25" s="1245">
        <f>G25/$G$32*100</f>
        <v>0.039753871681415934</v>
      </c>
    </row>
    <row r="26" spans="1:8" ht="21" customHeight="1">
      <c r="A26" s="1214"/>
      <c r="B26" s="1249" t="s">
        <v>9</v>
      </c>
      <c r="C26" s="1244">
        <v>139.6</v>
      </c>
      <c r="D26" s="1245">
        <f t="shared" si="0"/>
        <v>1.3138823529411763</v>
      </c>
      <c r="E26" s="1244">
        <v>65.5</v>
      </c>
      <c r="F26" s="1245">
        <f t="shared" si="1"/>
        <v>1.1516078555479365</v>
      </c>
      <c r="G26" s="1244">
        <v>121.4</v>
      </c>
      <c r="H26" s="1245">
        <f aca="true" t="shared" si="3" ref="H26:H31">G26/$G$32*100</f>
        <v>1.0491565265486729</v>
      </c>
    </row>
    <row r="27" spans="1:8" ht="21" customHeight="1">
      <c r="A27" s="1214"/>
      <c r="B27" s="1250" t="s">
        <v>255</v>
      </c>
      <c r="C27" s="1244">
        <v>37.1</v>
      </c>
      <c r="D27" s="1245">
        <f t="shared" si="0"/>
        <v>0.3491764705882353</v>
      </c>
      <c r="E27" s="1244">
        <v>11.2</v>
      </c>
      <c r="F27" s="1245">
        <f t="shared" si="1"/>
        <v>0.19691615239903645</v>
      </c>
      <c r="G27" s="1244">
        <v>43.1</v>
      </c>
      <c r="H27" s="1245">
        <f t="shared" si="3"/>
        <v>0.3724764933628319</v>
      </c>
    </row>
    <row r="28" spans="1:8" ht="21" customHeight="1">
      <c r="A28" s="1214"/>
      <c r="B28" s="1243" t="s">
        <v>11</v>
      </c>
      <c r="C28" s="1244">
        <v>10.4</v>
      </c>
      <c r="D28" s="1245">
        <f t="shared" si="0"/>
        <v>0.09788235294117649</v>
      </c>
      <c r="E28" s="1244">
        <v>0.2</v>
      </c>
      <c r="F28" s="1245">
        <f t="shared" si="1"/>
        <v>0.003516359864268509</v>
      </c>
      <c r="G28" s="1244">
        <v>0.4</v>
      </c>
      <c r="H28" s="1245">
        <f t="shared" si="3"/>
        <v>0.0034568584070796466</v>
      </c>
    </row>
    <row r="29" spans="1:8" ht="21" customHeight="1">
      <c r="A29" s="1214"/>
      <c r="B29" s="1243" t="s">
        <v>252</v>
      </c>
      <c r="C29" s="1244">
        <v>3.9</v>
      </c>
      <c r="D29" s="1245">
        <f t="shared" si="0"/>
        <v>0.03670588235294117</v>
      </c>
      <c r="E29" s="1244">
        <v>4</v>
      </c>
      <c r="F29" s="1245">
        <f t="shared" si="1"/>
        <v>0.07032719728537018</v>
      </c>
      <c r="G29" s="1244">
        <v>8</v>
      </c>
      <c r="H29" s="1245">
        <f t="shared" si="3"/>
        <v>0.06913716814159293</v>
      </c>
    </row>
    <row r="30" spans="1:8" ht="21" customHeight="1">
      <c r="A30" s="1214"/>
      <c r="B30" s="1250" t="s">
        <v>256</v>
      </c>
      <c r="C30" s="1244">
        <v>16.9</v>
      </c>
      <c r="D30" s="1245">
        <f t="shared" si="0"/>
        <v>0.15905882352941175</v>
      </c>
      <c r="E30" s="1244">
        <v>11</v>
      </c>
      <c r="F30" s="1245">
        <f t="shared" si="1"/>
        <v>0.19339979253476797</v>
      </c>
      <c r="G30" s="1244">
        <v>21.8</v>
      </c>
      <c r="H30" s="1245">
        <f t="shared" si="3"/>
        <v>0.18839878318584075</v>
      </c>
    </row>
    <row r="31" spans="1:8" ht="21" customHeight="1">
      <c r="A31" s="1217"/>
      <c r="B31" s="1251" t="s">
        <v>257</v>
      </c>
      <c r="C31" s="1252">
        <v>924.3</v>
      </c>
      <c r="D31" s="1241">
        <f>C31/$C$32*100</f>
        <v>8.699294117647058</v>
      </c>
      <c r="E31" s="1252">
        <v>479.5</v>
      </c>
      <c r="F31" s="1241">
        <f t="shared" si="1"/>
        <v>8.43047277458375</v>
      </c>
      <c r="G31" s="1252">
        <v>905.2</v>
      </c>
      <c r="H31" s="1241">
        <f t="shared" si="3"/>
        <v>7.8228705752212395</v>
      </c>
    </row>
    <row r="32" spans="1:8" ht="22.5" customHeight="1">
      <c r="A32" s="1217"/>
      <c r="B32" s="1251" t="s">
        <v>14</v>
      </c>
      <c r="C32" s="1253">
        <f>SUM(C16,C24,C31)</f>
        <v>10625</v>
      </c>
      <c r="D32" s="1254">
        <f>D16+D24+D31</f>
        <v>99.99999999999999</v>
      </c>
      <c r="E32" s="1253">
        <f>SUM(E16,E24,E31)</f>
        <v>5687.700000000001</v>
      </c>
      <c r="F32" s="1254">
        <f>F16+F24+F31</f>
        <v>100</v>
      </c>
      <c r="G32" s="1255">
        <f>SUM(G16,G24,G31)</f>
        <v>11571.199999999999</v>
      </c>
      <c r="H32" s="1254">
        <f>H16+H24+H31</f>
        <v>100.00000000000001</v>
      </c>
    </row>
    <row r="33" spans="1:6" ht="15" customHeight="1">
      <c r="A33" s="1222"/>
      <c r="B33" s="1256"/>
      <c r="C33" s="1257"/>
      <c r="D33" s="1258"/>
      <c r="E33" s="1258"/>
      <c r="F33" s="1258"/>
    </row>
    <row r="34" spans="2:3" ht="20.25" customHeight="1">
      <c r="B34" s="1259" t="s">
        <v>445</v>
      </c>
      <c r="C34" s="1205"/>
    </row>
    <row r="35" ht="20.25" customHeight="1">
      <c r="B35" s="1259" t="s">
        <v>446</v>
      </c>
    </row>
    <row r="36" ht="19.5" customHeight="1">
      <c r="B36" s="1206" t="s">
        <v>447</v>
      </c>
    </row>
    <row r="37" ht="18.75" customHeight="1">
      <c r="B37" s="1206" t="s">
        <v>448</v>
      </c>
    </row>
    <row r="38" spans="2:8" ht="18.75" customHeight="1">
      <c r="B38" s="1205" t="s">
        <v>449</v>
      </c>
      <c r="C38" s="1200"/>
      <c r="D38" s="1200"/>
      <c r="E38" s="1200"/>
      <c r="F38" s="1200"/>
      <c r="G38" s="1200"/>
      <c r="H38" s="1200"/>
    </row>
    <row r="39" spans="2:8" ht="18.75" customHeight="1">
      <c r="B39" s="1206" t="s">
        <v>450</v>
      </c>
      <c r="C39" s="1200"/>
      <c r="D39" s="1200"/>
      <c r="E39" s="1200"/>
      <c r="F39" s="1200"/>
      <c r="G39" s="1200"/>
      <c r="H39" s="1200"/>
    </row>
    <row r="40" spans="2:8" ht="19.5" customHeight="1">
      <c r="B40" s="1259" t="s">
        <v>451</v>
      </c>
      <c r="C40" s="1200"/>
      <c r="D40" s="1200"/>
      <c r="E40" s="1200"/>
      <c r="F40" s="1200"/>
      <c r="G40" s="1200"/>
      <c r="H40" s="1200"/>
    </row>
    <row r="41" ht="18">
      <c r="B41" s="1259" t="s">
        <v>471</v>
      </c>
    </row>
    <row r="42" ht="15">
      <c r="B42" s="1260" t="s">
        <v>452</v>
      </c>
    </row>
    <row r="43" ht="18">
      <c r="B43" s="1259"/>
    </row>
  </sheetData>
  <sheetProtection/>
  <mergeCells count="14">
    <mergeCell ref="C4:D4"/>
    <mergeCell ref="E4:F4"/>
    <mergeCell ref="G4:H4"/>
    <mergeCell ref="C5:D5"/>
    <mergeCell ref="E5:F5"/>
    <mergeCell ref="G5:H5"/>
    <mergeCell ref="C7:D7"/>
    <mergeCell ref="E7:F7"/>
    <mergeCell ref="G6:H6"/>
    <mergeCell ref="G7:H7"/>
    <mergeCell ref="C13:D13"/>
    <mergeCell ref="E13:F13"/>
    <mergeCell ref="G13:H13"/>
    <mergeCell ref="C6:D6"/>
  </mergeCells>
  <printOptions/>
  <pageMargins left="0.58" right="0.21" top="0.51" bottom="0.1" header="0.26" footer="0.31"/>
  <pageSetup horizontalDpi="300" verticalDpi="300" orientation="portrait" paperSize="9" r:id="rId3"/>
  <headerFooter alignWithMargins="0">
    <oddHeader>&amp;C- 8 -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16.140625" style="2" customWidth="1"/>
    <col min="2" max="2" width="3.421875" style="2" customWidth="1"/>
    <col min="3" max="4" width="12.7109375" style="2" customWidth="1"/>
    <col min="5" max="5" width="6.8515625" style="2" customWidth="1"/>
    <col min="6" max="6" width="2.57421875" style="2" customWidth="1"/>
    <col min="7" max="7" width="2.28125" style="2" customWidth="1"/>
    <col min="8" max="8" width="6.7109375" style="2" customWidth="1"/>
    <col min="9" max="9" width="4.57421875" style="2" customWidth="1"/>
    <col min="10" max="10" width="3.140625" style="2" customWidth="1"/>
    <col min="11" max="11" width="4.7109375" style="2" customWidth="1"/>
    <col min="12" max="12" width="4.421875" style="2" customWidth="1"/>
    <col min="13" max="13" width="11.140625" style="2" customWidth="1"/>
    <col min="14" max="14" width="6.00390625" style="13" customWidth="1"/>
    <col min="15" max="16384" width="9.140625" style="13" customWidth="1"/>
  </cols>
  <sheetData>
    <row r="1" spans="1:4" ht="24.75" customHeight="1">
      <c r="A1" s="12" t="s">
        <v>389</v>
      </c>
      <c r="B1" s="12"/>
      <c r="C1" s="12"/>
      <c r="D1" s="12"/>
    </row>
    <row r="2" spans="1:4" ht="6" customHeight="1">
      <c r="A2" s="11"/>
      <c r="B2" s="12"/>
      <c r="C2" s="12"/>
      <c r="D2" s="12"/>
    </row>
    <row r="3" spans="1:13" ht="18.75" customHeight="1">
      <c r="A3" s="1343" t="s">
        <v>15</v>
      </c>
      <c r="B3" s="1395"/>
      <c r="C3" s="1344"/>
      <c r="D3" s="1338" t="s">
        <v>16</v>
      </c>
      <c r="E3" s="1339"/>
      <c r="F3" s="1339"/>
      <c r="G3" s="1339"/>
      <c r="H3" s="1339"/>
      <c r="I3" s="1339"/>
      <c r="J3" s="1339"/>
      <c r="K3" s="1339"/>
      <c r="L3" s="1339"/>
      <c r="M3" s="1340"/>
    </row>
    <row r="4" spans="1:13" s="14" customFormat="1" ht="15" customHeight="1">
      <c r="A4" s="1396"/>
      <c r="B4" s="1397"/>
      <c r="C4" s="1398"/>
      <c r="D4" s="1341" t="s">
        <v>5</v>
      </c>
      <c r="E4" s="1343" t="s">
        <v>331</v>
      </c>
      <c r="F4" s="1395"/>
      <c r="G4" s="1344"/>
      <c r="H4" s="1343" t="s">
        <v>314</v>
      </c>
      <c r="I4" s="1344"/>
      <c r="J4" s="1400" t="s">
        <v>17</v>
      </c>
      <c r="K4" s="1401"/>
      <c r="L4" s="1402"/>
      <c r="M4" s="1341" t="s">
        <v>426</v>
      </c>
    </row>
    <row r="5" spans="1:13" s="14" customFormat="1" ht="14.25" customHeight="1">
      <c r="A5" s="1345"/>
      <c r="B5" s="1399"/>
      <c r="C5" s="1346"/>
      <c r="D5" s="1342"/>
      <c r="E5" s="1345"/>
      <c r="F5" s="1399"/>
      <c r="G5" s="1346"/>
      <c r="H5" s="1345"/>
      <c r="I5" s="1346"/>
      <c r="J5" s="1403" t="s">
        <v>18</v>
      </c>
      <c r="K5" s="1404"/>
      <c r="L5" s="1405"/>
      <c r="M5" s="1342"/>
    </row>
    <row r="6" spans="1:13" s="2" customFormat="1" ht="24" customHeight="1">
      <c r="A6" s="15" t="s">
        <v>19</v>
      </c>
      <c r="B6" s="12"/>
      <c r="C6" s="12"/>
      <c r="D6" s="16">
        <f aca="true" t="shared" si="0" ref="D6:D17">SUM(E6,H6,J6,M6)</f>
        <v>128</v>
      </c>
      <c r="E6" s="1392">
        <v>18</v>
      </c>
      <c r="F6" s="1393"/>
      <c r="G6" s="1394"/>
      <c r="H6" s="1373">
        <v>1</v>
      </c>
      <c r="I6" s="1374"/>
      <c r="J6" s="1375">
        <v>16</v>
      </c>
      <c r="K6" s="1376"/>
      <c r="L6" s="1377"/>
      <c r="M6" s="17">
        <v>93</v>
      </c>
    </row>
    <row r="7" spans="1:13" s="2" customFormat="1" ht="24" customHeight="1">
      <c r="A7" s="15" t="s">
        <v>20</v>
      </c>
      <c r="B7" s="12"/>
      <c r="C7" s="12"/>
      <c r="D7" s="16">
        <f t="shared" si="0"/>
        <v>102</v>
      </c>
      <c r="E7" s="1378">
        <v>22</v>
      </c>
      <c r="F7" s="1379"/>
      <c r="G7" s="1380"/>
      <c r="H7" s="1381">
        <v>1</v>
      </c>
      <c r="I7" s="1382"/>
      <c r="J7" s="1383">
        <v>1</v>
      </c>
      <c r="K7" s="1384"/>
      <c r="L7" s="1385"/>
      <c r="M7" s="17">
        <v>78</v>
      </c>
    </row>
    <row r="8" spans="1:16" s="2" customFormat="1" ht="24" customHeight="1">
      <c r="A8" s="15" t="s">
        <v>21</v>
      </c>
      <c r="B8" s="12"/>
      <c r="C8" s="12"/>
      <c r="D8" s="16">
        <f t="shared" si="0"/>
        <v>109</v>
      </c>
      <c r="E8" s="1378">
        <v>22</v>
      </c>
      <c r="F8" s="1379"/>
      <c r="G8" s="1380"/>
      <c r="H8" s="1389" t="s">
        <v>36</v>
      </c>
      <c r="I8" s="1390"/>
      <c r="J8" s="1383">
        <v>2</v>
      </c>
      <c r="K8" s="1384"/>
      <c r="L8" s="1385"/>
      <c r="M8" s="17">
        <v>85</v>
      </c>
      <c r="O8" s="867"/>
      <c r="P8" s="867"/>
    </row>
    <row r="9" spans="1:13" s="2" customFormat="1" ht="24" customHeight="1">
      <c r="A9" s="15" t="s">
        <v>22</v>
      </c>
      <c r="B9" s="12"/>
      <c r="C9" s="12"/>
      <c r="D9" s="16">
        <f t="shared" si="0"/>
        <v>114</v>
      </c>
      <c r="E9" s="1378">
        <v>29</v>
      </c>
      <c r="F9" s="1379"/>
      <c r="G9" s="1380"/>
      <c r="H9" s="1381">
        <v>3</v>
      </c>
      <c r="I9" s="1382"/>
      <c r="J9" s="1389" t="s">
        <v>36</v>
      </c>
      <c r="K9" s="1391"/>
      <c r="L9" s="1390"/>
      <c r="M9" s="47">
        <v>82</v>
      </c>
    </row>
    <row r="10" spans="1:13" s="2" customFormat="1" ht="24" customHeight="1">
      <c r="A10" s="15" t="s">
        <v>23</v>
      </c>
      <c r="B10" s="12"/>
      <c r="C10" s="12"/>
      <c r="D10" s="16">
        <f t="shared" si="0"/>
        <v>98</v>
      </c>
      <c r="E10" s="1378">
        <v>19</v>
      </c>
      <c r="F10" s="1379"/>
      <c r="G10" s="1380"/>
      <c r="H10" s="1381">
        <v>1</v>
      </c>
      <c r="I10" s="1382"/>
      <c r="J10" s="1383">
        <v>11</v>
      </c>
      <c r="K10" s="1384"/>
      <c r="L10" s="1385"/>
      <c r="M10" s="17">
        <v>67</v>
      </c>
    </row>
    <row r="11" spans="1:13" s="2" customFormat="1" ht="24" customHeight="1">
      <c r="A11" s="15" t="s">
        <v>24</v>
      </c>
      <c r="B11" s="12"/>
      <c r="C11" s="12"/>
      <c r="D11" s="16">
        <f t="shared" si="0"/>
        <v>56</v>
      </c>
      <c r="E11" s="1378">
        <v>10</v>
      </c>
      <c r="F11" s="1379"/>
      <c r="G11" s="1380"/>
      <c r="H11" s="1381">
        <v>1</v>
      </c>
      <c r="I11" s="1382"/>
      <c r="J11" s="1383">
        <v>2</v>
      </c>
      <c r="K11" s="1384"/>
      <c r="L11" s="1385"/>
      <c r="M11" s="17">
        <v>43</v>
      </c>
    </row>
    <row r="12" spans="1:13" s="2" customFormat="1" ht="24" customHeight="1">
      <c r="A12" s="15" t="s">
        <v>25</v>
      </c>
      <c r="B12" s="12"/>
      <c r="C12" s="12"/>
      <c r="D12" s="16">
        <f t="shared" si="0"/>
        <v>288</v>
      </c>
      <c r="E12" s="1378">
        <v>31</v>
      </c>
      <c r="F12" s="1379"/>
      <c r="G12" s="1380"/>
      <c r="H12" s="1381">
        <v>2</v>
      </c>
      <c r="I12" s="1382"/>
      <c r="J12" s="1383">
        <v>26</v>
      </c>
      <c r="K12" s="1384"/>
      <c r="L12" s="1385"/>
      <c r="M12" s="17">
        <v>229</v>
      </c>
    </row>
    <row r="13" spans="1:13" s="2" customFormat="1" ht="24" customHeight="1">
      <c r="A13" s="15" t="s">
        <v>26</v>
      </c>
      <c r="B13" s="12"/>
      <c r="C13" s="12"/>
      <c r="D13" s="16">
        <f t="shared" si="0"/>
        <v>70</v>
      </c>
      <c r="E13" s="1378">
        <v>14</v>
      </c>
      <c r="F13" s="1379"/>
      <c r="G13" s="1380"/>
      <c r="H13" s="1381">
        <v>3</v>
      </c>
      <c r="I13" s="1382"/>
      <c r="J13" s="1386" t="s">
        <v>36</v>
      </c>
      <c r="K13" s="1387"/>
      <c r="L13" s="1388"/>
      <c r="M13" s="17">
        <v>53</v>
      </c>
    </row>
    <row r="14" spans="1:13" s="2" customFormat="1" ht="24" customHeight="1">
      <c r="A14" s="15" t="s">
        <v>27</v>
      </c>
      <c r="B14" s="12"/>
      <c r="C14" s="12"/>
      <c r="D14" s="18">
        <f t="shared" si="0"/>
        <v>50</v>
      </c>
      <c r="E14" s="1367">
        <v>11</v>
      </c>
      <c r="F14" s="1368"/>
      <c r="G14" s="1369"/>
      <c r="H14" s="1312" t="s">
        <v>36</v>
      </c>
      <c r="I14" s="1313"/>
      <c r="J14" s="1356" t="s">
        <v>36</v>
      </c>
      <c r="K14" s="1357"/>
      <c r="L14" s="1358"/>
      <c r="M14" s="17">
        <v>39</v>
      </c>
    </row>
    <row r="15" spans="1:13" s="2" customFormat="1" ht="27" customHeight="1">
      <c r="A15" s="19" t="s">
        <v>28</v>
      </c>
      <c r="B15" s="20"/>
      <c r="C15" s="20"/>
      <c r="D15" s="21">
        <f t="shared" si="0"/>
        <v>1015</v>
      </c>
      <c r="E15" s="1370">
        <f>SUM(E6:G14)</f>
        <v>176</v>
      </c>
      <c r="F15" s="1371"/>
      <c r="G15" s="1372"/>
      <c r="H15" s="1373">
        <f>SUM(H6:I14)</f>
        <v>12</v>
      </c>
      <c r="I15" s="1374"/>
      <c r="J15" s="1375">
        <f>SUM(J6:L14)</f>
        <v>58</v>
      </c>
      <c r="K15" s="1376"/>
      <c r="L15" s="1377"/>
      <c r="M15" s="22">
        <f>SUM(M6:O14)</f>
        <v>769</v>
      </c>
    </row>
    <row r="16" spans="1:13" s="2" customFormat="1" ht="27" customHeight="1">
      <c r="A16" s="23" t="s">
        <v>29</v>
      </c>
      <c r="B16" s="24"/>
      <c r="C16" s="24"/>
      <c r="D16" s="16">
        <f t="shared" si="0"/>
        <v>33</v>
      </c>
      <c r="E16" s="1353">
        <v>3</v>
      </c>
      <c r="F16" s="1354"/>
      <c r="G16" s="1355"/>
      <c r="H16" s="1312" t="s">
        <v>36</v>
      </c>
      <c r="I16" s="1313"/>
      <c r="J16" s="1356" t="s">
        <v>36</v>
      </c>
      <c r="K16" s="1357"/>
      <c r="L16" s="1358"/>
      <c r="M16" s="1090">
        <v>30</v>
      </c>
    </row>
    <row r="17" spans="1:13" s="2" customFormat="1" ht="27" customHeight="1">
      <c r="A17" s="23" t="s">
        <v>30</v>
      </c>
      <c r="B17" s="24"/>
      <c r="C17" s="24"/>
      <c r="D17" s="26">
        <f t="shared" si="0"/>
        <v>1048</v>
      </c>
      <c r="E17" s="1359">
        <f>SUM(E15:G16)</f>
        <v>179</v>
      </c>
      <c r="F17" s="1360"/>
      <c r="G17" s="1361"/>
      <c r="H17" s="1362">
        <f>SUM(H15:I16)</f>
        <v>12</v>
      </c>
      <c r="I17" s="1363"/>
      <c r="J17" s="1364">
        <f>SUM(J15:L16)</f>
        <v>58</v>
      </c>
      <c r="K17" s="1365"/>
      <c r="L17" s="1366"/>
      <c r="M17" s="27">
        <f>SUM(M15:M16)</f>
        <v>799</v>
      </c>
    </row>
    <row r="18" spans="1:13" ht="18.75" customHeight="1">
      <c r="A18" s="13" t="s">
        <v>457</v>
      </c>
      <c r="B18" s="331"/>
      <c r="C18" s="331"/>
      <c r="D18" s="1266"/>
      <c r="E18" s="1267"/>
      <c r="F18" s="1267"/>
      <c r="G18" s="1267"/>
      <c r="H18" s="1268"/>
      <c r="I18" s="1268"/>
      <c r="J18" s="1269"/>
      <c r="K18" s="1269"/>
      <c r="L18" s="1269"/>
      <c r="M18" s="1265"/>
    </row>
    <row r="19" spans="1:13" s="2" customFormat="1" ht="24.75" customHeight="1">
      <c r="A19" s="12"/>
      <c r="B19" s="12"/>
      <c r="C19" s="12"/>
      <c r="D19" s="12"/>
      <c r="E19" s="28"/>
      <c r="F19" s="28"/>
      <c r="G19" s="28"/>
      <c r="H19" s="28"/>
      <c r="I19" s="28"/>
      <c r="J19" s="28"/>
      <c r="K19" s="28"/>
      <c r="L19" s="28"/>
      <c r="M19" s="28"/>
    </row>
    <row r="20" spans="1:4" s="2" customFormat="1" ht="18.75" customHeight="1">
      <c r="A20" s="9" t="s">
        <v>390</v>
      </c>
      <c r="B20" s="9"/>
      <c r="C20" s="9"/>
      <c r="D20" s="9"/>
    </row>
    <row r="21" s="2" customFormat="1" ht="10.5" customHeight="1"/>
    <row r="22" spans="1:13" s="2" customFormat="1" ht="17.25" customHeight="1">
      <c r="A22" s="1329" t="s">
        <v>31</v>
      </c>
      <c r="B22" s="1330"/>
      <c r="C22" s="1331"/>
      <c r="D22" s="1338" t="s">
        <v>16</v>
      </c>
      <c r="E22" s="1339"/>
      <c r="F22" s="1339"/>
      <c r="G22" s="1339"/>
      <c r="H22" s="1339"/>
      <c r="I22" s="1339"/>
      <c r="J22" s="1339"/>
      <c r="K22" s="1339"/>
      <c r="L22" s="1339"/>
      <c r="M22" s="1340"/>
    </row>
    <row r="23" spans="1:13" s="2" customFormat="1" ht="14.25" customHeight="1">
      <c r="A23" s="1332"/>
      <c r="B23" s="1333"/>
      <c r="C23" s="1334"/>
      <c r="D23" s="1341" t="s">
        <v>5</v>
      </c>
      <c r="E23" s="1329" t="s">
        <v>332</v>
      </c>
      <c r="F23" s="1330"/>
      <c r="G23" s="1331"/>
      <c r="H23" s="1343" t="s">
        <v>314</v>
      </c>
      <c r="I23" s="1344"/>
      <c r="J23" s="1347" t="s">
        <v>17</v>
      </c>
      <c r="K23" s="1348"/>
      <c r="L23" s="1349"/>
      <c r="M23" s="1341" t="s">
        <v>426</v>
      </c>
    </row>
    <row r="24" spans="1:13" s="2" customFormat="1" ht="13.5" customHeight="1">
      <c r="A24" s="1335"/>
      <c r="B24" s="1336"/>
      <c r="C24" s="1337"/>
      <c r="D24" s="1342"/>
      <c r="E24" s="1335"/>
      <c r="F24" s="1336"/>
      <c r="G24" s="1337"/>
      <c r="H24" s="1345"/>
      <c r="I24" s="1346"/>
      <c r="J24" s="1350" t="s">
        <v>18</v>
      </c>
      <c r="K24" s="1351"/>
      <c r="L24" s="1352"/>
      <c r="M24" s="1342"/>
    </row>
    <row r="25" spans="1:13" s="2" customFormat="1" ht="26.25" customHeight="1">
      <c r="A25" s="15" t="s">
        <v>32</v>
      </c>
      <c r="B25" s="12"/>
      <c r="C25" s="12"/>
      <c r="D25" s="21">
        <f aca="true" t="shared" si="1" ref="D25:D30">SUM(E25,H25,J25,M25)</f>
        <v>339</v>
      </c>
      <c r="E25" s="1306">
        <v>62</v>
      </c>
      <c r="F25" s="1308"/>
      <c r="G25" s="1307"/>
      <c r="H25" s="1306">
        <v>2</v>
      </c>
      <c r="I25" s="1307"/>
      <c r="J25" s="1306">
        <v>19</v>
      </c>
      <c r="K25" s="1308"/>
      <c r="L25" s="1307"/>
      <c r="M25" s="33">
        <v>256</v>
      </c>
    </row>
    <row r="26" spans="1:13" s="2" customFormat="1" ht="26.25" customHeight="1">
      <c r="A26" s="15" t="s">
        <v>33</v>
      </c>
      <c r="B26" s="12"/>
      <c r="C26" s="12"/>
      <c r="D26" s="16">
        <f t="shared" si="1"/>
        <v>261</v>
      </c>
      <c r="E26" s="1323">
        <v>51</v>
      </c>
      <c r="F26" s="1324"/>
      <c r="G26" s="1325"/>
      <c r="H26" s="1323">
        <v>6</v>
      </c>
      <c r="I26" s="1325"/>
      <c r="J26" s="1323">
        <v>9</v>
      </c>
      <c r="K26" s="1324"/>
      <c r="L26" s="1325"/>
      <c r="M26" s="33">
        <v>195</v>
      </c>
    </row>
    <row r="27" spans="1:13" s="2" customFormat="1" ht="26.25" customHeight="1">
      <c r="A27" s="15" t="s">
        <v>34</v>
      </c>
      <c r="B27" s="12"/>
      <c r="C27" s="12"/>
      <c r="D27" s="16">
        <f t="shared" si="1"/>
        <v>227</v>
      </c>
      <c r="E27" s="1323">
        <v>36</v>
      </c>
      <c r="F27" s="1324"/>
      <c r="G27" s="1325"/>
      <c r="H27" s="1323">
        <v>2</v>
      </c>
      <c r="I27" s="1325"/>
      <c r="J27" s="1323">
        <v>15</v>
      </c>
      <c r="K27" s="1324"/>
      <c r="L27" s="1325"/>
      <c r="M27" s="34">
        <v>174</v>
      </c>
    </row>
    <row r="28" spans="1:13" s="2" customFormat="1" ht="26.25" customHeight="1">
      <c r="A28" s="15" t="s">
        <v>35</v>
      </c>
      <c r="B28" s="12"/>
      <c r="C28" s="12"/>
      <c r="D28" s="16">
        <f t="shared" si="1"/>
        <v>188</v>
      </c>
      <c r="E28" s="1326">
        <v>27</v>
      </c>
      <c r="F28" s="1327"/>
      <c r="G28" s="1328"/>
      <c r="H28" s="1323">
        <v>2</v>
      </c>
      <c r="I28" s="1325"/>
      <c r="J28" s="1323">
        <v>15</v>
      </c>
      <c r="K28" s="1324"/>
      <c r="L28" s="1325"/>
      <c r="M28" s="34">
        <v>144</v>
      </c>
    </row>
    <row r="29" spans="1:13" s="2" customFormat="1" ht="27" customHeight="1">
      <c r="A29" s="1193" t="s">
        <v>28</v>
      </c>
      <c r="B29" s="20"/>
      <c r="C29" s="20"/>
      <c r="D29" s="1194">
        <f>SUM(D25:D28)</f>
        <v>1015</v>
      </c>
      <c r="E29" s="1320">
        <f>SUM(E25:G28)</f>
        <v>176</v>
      </c>
      <c r="F29" s="1321"/>
      <c r="G29" s="1322"/>
      <c r="H29" s="1306">
        <f>SUM(H25:I28)</f>
        <v>12</v>
      </c>
      <c r="I29" s="1307"/>
      <c r="J29" s="1306">
        <f>SUM(J25:L28)</f>
        <v>58</v>
      </c>
      <c r="K29" s="1308"/>
      <c r="L29" s="1307"/>
      <c r="M29" s="1192">
        <f>SUM(M25:M28)</f>
        <v>769</v>
      </c>
    </row>
    <row r="30" spans="1:13" s="2" customFormat="1" ht="27" customHeight="1">
      <c r="A30" s="23" t="s">
        <v>29</v>
      </c>
      <c r="B30" s="12"/>
      <c r="C30" s="12"/>
      <c r="D30" s="1195">
        <f t="shared" si="1"/>
        <v>33</v>
      </c>
      <c r="E30" s="1309">
        <v>3</v>
      </c>
      <c r="F30" s="1310"/>
      <c r="G30" s="1311"/>
      <c r="H30" s="1312" t="s">
        <v>36</v>
      </c>
      <c r="I30" s="1313"/>
      <c r="J30" s="1314" t="s">
        <v>36</v>
      </c>
      <c r="K30" s="1315"/>
      <c r="L30" s="1316"/>
      <c r="M30" s="34">
        <v>30</v>
      </c>
    </row>
    <row r="31" spans="1:13" s="2" customFormat="1" ht="27" customHeight="1">
      <c r="A31" s="23" t="s">
        <v>30</v>
      </c>
      <c r="B31" s="35"/>
      <c r="C31" s="35"/>
      <c r="D31" s="1196">
        <f>SUM(D29,D30)</f>
        <v>1048</v>
      </c>
      <c r="E31" s="1317">
        <f>SUM(E29:G30)</f>
        <v>179</v>
      </c>
      <c r="F31" s="1318"/>
      <c r="G31" s="1319"/>
      <c r="H31" s="1317">
        <f>SUM(H29:I30)</f>
        <v>12</v>
      </c>
      <c r="I31" s="1319"/>
      <c r="J31" s="1317">
        <f>SUM(J29:L30)</f>
        <v>58</v>
      </c>
      <c r="K31" s="1318"/>
      <c r="L31" s="1319"/>
      <c r="M31" s="36">
        <f>SUM(M29:M30)</f>
        <v>799</v>
      </c>
    </row>
    <row r="32" spans="5:6" ht="15" customHeight="1">
      <c r="E32" s="37"/>
      <c r="F32" s="37"/>
    </row>
    <row r="33" spans="1:4" ht="16.5" customHeight="1">
      <c r="A33" s="38" t="s">
        <v>427</v>
      </c>
      <c r="B33" s="38"/>
      <c r="C33" s="38"/>
      <c r="D33" s="38"/>
    </row>
    <row r="34" ht="16.5" customHeight="1">
      <c r="A34" s="39" t="s">
        <v>428</v>
      </c>
    </row>
    <row r="35" spans="1:13" ht="16.5" customHeight="1">
      <c r="A35" s="38" t="s">
        <v>458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6.5" customHeight="1">
      <c r="A36" s="13" t="s">
        <v>457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sheetProtection/>
  <mergeCells count="73">
    <mergeCell ref="A3:C5"/>
    <mergeCell ref="D3:M3"/>
    <mergeCell ref="D4:D5"/>
    <mergeCell ref="E4:G5"/>
    <mergeCell ref="H4:I5"/>
    <mergeCell ref="J4:L4"/>
    <mergeCell ref="M4:M5"/>
    <mergeCell ref="J5:L5"/>
    <mergeCell ref="E6:G6"/>
    <mergeCell ref="H6:I6"/>
    <mergeCell ref="J6:L6"/>
    <mergeCell ref="E7:G7"/>
    <mergeCell ref="H7:I7"/>
    <mergeCell ref="J7:L7"/>
    <mergeCell ref="E8:G8"/>
    <mergeCell ref="H8:I8"/>
    <mergeCell ref="J8:L8"/>
    <mergeCell ref="E9:G9"/>
    <mergeCell ref="H9:I9"/>
    <mergeCell ref="J9:L9"/>
    <mergeCell ref="E10:G10"/>
    <mergeCell ref="H10:I10"/>
    <mergeCell ref="J10:L10"/>
    <mergeCell ref="E11:G11"/>
    <mergeCell ref="H11:I11"/>
    <mergeCell ref="J11:L11"/>
    <mergeCell ref="E12:G12"/>
    <mergeCell ref="H12:I12"/>
    <mergeCell ref="J12:L12"/>
    <mergeCell ref="E13:G13"/>
    <mergeCell ref="H13:I13"/>
    <mergeCell ref="J13:L13"/>
    <mergeCell ref="E14:G14"/>
    <mergeCell ref="H14:I14"/>
    <mergeCell ref="J14:L14"/>
    <mergeCell ref="E15:G15"/>
    <mergeCell ref="H15:I15"/>
    <mergeCell ref="J15:L15"/>
    <mergeCell ref="E16:G16"/>
    <mergeCell ref="H16:I16"/>
    <mergeCell ref="J16:L16"/>
    <mergeCell ref="E17:G17"/>
    <mergeCell ref="H17:I17"/>
    <mergeCell ref="J17:L17"/>
    <mergeCell ref="A22:C24"/>
    <mergeCell ref="D22:M22"/>
    <mergeCell ref="D23:D24"/>
    <mergeCell ref="E23:G24"/>
    <mergeCell ref="H23:I24"/>
    <mergeCell ref="J23:L23"/>
    <mergeCell ref="M23:M24"/>
    <mergeCell ref="J24:L24"/>
    <mergeCell ref="E25:G25"/>
    <mergeCell ref="H25:I25"/>
    <mergeCell ref="J25:L25"/>
    <mergeCell ref="E26:G26"/>
    <mergeCell ref="H26:I26"/>
    <mergeCell ref="J26:L26"/>
    <mergeCell ref="E27:G27"/>
    <mergeCell ref="H27:I27"/>
    <mergeCell ref="J27:L27"/>
    <mergeCell ref="E28:G28"/>
    <mergeCell ref="H28:I28"/>
    <mergeCell ref="J28:L28"/>
    <mergeCell ref="H29:I29"/>
    <mergeCell ref="J29:L29"/>
    <mergeCell ref="E30:G30"/>
    <mergeCell ref="H30:I30"/>
    <mergeCell ref="J30:L30"/>
    <mergeCell ref="E31:G31"/>
    <mergeCell ref="H31:I31"/>
    <mergeCell ref="J31:L31"/>
    <mergeCell ref="E29:G29"/>
  </mergeCells>
  <printOptions/>
  <pageMargins left="0.88" right="0.3" top="0.74" bottom="0.5" header="0.45" footer="0.5"/>
  <pageSetup horizontalDpi="300" verticalDpi="300" orientation="portrait" paperSize="9" r:id="rId2"/>
  <headerFooter alignWithMargins="0">
    <oddHeader>&amp;C- 9 -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33.00390625" style="13" customWidth="1"/>
    <col min="2" max="7" width="9.57421875" style="13" customWidth="1"/>
    <col min="8" max="8" width="4.00390625" style="13" customWidth="1"/>
    <col min="9" max="16384" width="9.140625" style="13" customWidth="1"/>
  </cols>
  <sheetData>
    <row r="1" ht="27" customHeight="1">
      <c r="A1" s="2" t="s">
        <v>391</v>
      </c>
    </row>
    <row r="2" ht="22.5" customHeight="1"/>
    <row r="3" spans="1:7" ht="24" customHeight="1">
      <c r="A3" s="1406" t="s">
        <v>15</v>
      </c>
      <c r="B3" s="40" t="s">
        <v>37</v>
      </c>
      <c r="C3" s="40"/>
      <c r="D3" s="40"/>
      <c r="E3" s="41" t="s">
        <v>38</v>
      </c>
      <c r="F3" s="40"/>
      <c r="G3" s="42"/>
    </row>
    <row r="4" spans="1:7" ht="36.75" customHeight="1">
      <c r="A4" s="1407"/>
      <c r="B4" s="31" t="s">
        <v>39</v>
      </c>
      <c r="C4" s="31" t="s">
        <v>40</v>
      </c>
      <c r="D4" s="30" t="s">
        <v>5</v>
      </c>
      <c r="E4" s="32" t="s">
        <v>41</v>
      </c>
      <c r="F4" s="43" t="s">
        <v>42</v>
      </c>
      <c r="G4" s="31" t="s">
        <v>5</v>
      </c>
    </row>
    <row r="5" spans="1:7" s="2" customFormat="1" ht="24" customHeight="1">
      <c r="A5" s="44" t="s">
        <v>19</v>
      </c>
      <c r="B5" s="45">
        <v>2319</v>
      </c>
      <c r="C5" s="45">
        <v>2291</v>
      </c>
      <c r="D5" s="46">
        <f aca="true" t="shared" si="0" ref="D5:D13">B5+C5</f>
        <v>4610</v>
      </c>
      <c r="E5" s="47">
        <v>324</v>
      </c>
      <c r="F5" s="47">
        <v>119</v>
      </c>
      <c r="G5" s="45">
        <f>E5+F5</f>
        <v>443</v>
      </c>
    </row>
    <row r="6" spans="1:7" s="2" customFormat="1" ht="24" customHeight="1">
      <c r="A6" s="44" t="s">
        <v>20</v>
      </c>
      <c r="B6" s="45">
        <v>1770</v>
      </c>
      <c r="C6" s="45">
        <v>1657</v>
      </c>
      <c r="D6" s="46">
        <f t="shared" si="0"/>
        <v>3427</v>
      </c>
      <c r="E6" s="47">
        <v>258</v>
      </c>
      <c r="F6" s="47">
        <v>89</v>
      </c>
      <c r="G6" s="45">
        <f aca="true" t="shared" si="1" ref="G6:G16">E6+F6</f>
        <v>347</v>
      </c>
    </row>
    <row r="7" spans="1:7" s="2" customFormat="1" ht="24" customHeight="1">
      <c r="A7" s="44" t="s">
        <v>43</v>
      </c>
      <c r="B7" s="48">
        <v>1565</v>
      </c>
      <c r="C7" s="48">
        <v>1507</v>
      </c>
      <c r="D7" s="49">
        <f t="shared" si="0"/>
        <v>3072</v>
      </c>
      <c r="E7" s="17">
        <v>217</v>
      </c>
      <c r="F7" s="17">
        <v>51</v>
      </c>
      <c r="G7" s="48">
        <f t="shared" si="1"/>
        <v>268</v>
      </c>
    </row>
    <row r="8" spans="1:7" s="2" customFormat="1" ht="24" customHeight="1">
      <c r="A8" s="44" t="s">
        <v>22</v>
      </c>
      <c r="B8" s="45">
        <v>1991</v>
      </c>
      <c r="C8" s="45">
        <v>1907</v>
      </c>
      <c r="D8" s="46">
        <f t="shared" si="0"/>
        <v>3898</v>
      </c>
      <c r="E8" s="47">
        <v>252</v>
      </c>
      <c r="F8" s="47">
        <v>126</v>
      </c>
      <c r="G8" s="45">
        <f t="shared" si="1"/>
        <v>378</v>
      </c>
    </row>
    <row r="9" spans="1:7" s="2" customFormat="1" ht="24" customHeight="1">
      <c r="A9" s="44" t="s">
        <v>23</v>
      </c>
      <c r="B9" s="45">
        <v>1489</v>
      </c>
      <c r="C9" s="45">
        <v>1449</v>
      </c>
      <c r="D9" s="46">
        <f t="shared" si="0"/>
        <v>2938</v>
      </c>
      <c r="E9" s="47">
        <v>206</v>
      </c>
      <c r="F9" s="47">
        <v>103</v>
      </c>
      <c r="G9" s="45">
        <f t="shared" si="1"/>
        <v>309</v>
      </c>
    </row>
    <row r="10" spans="1:7" s="2" customFormat="1" ht="24" customHeight="1">
      <c r="A10" s="44" t="s">
        <v>24</v>
      </c>
      <c r="B10" s="45">
        <v>941</v>
      </c>
      <c r="C10" s="45">
        <v>922</v>
      </c>
      <c r="D10" s="46">
        <f t="shared" si="0"/>
        <v>1863</v>
      </c>
      <c r="E10" s="47">
        <v>120</v>
      </c>
      <c r="F10" s="47">
        <v>60</v>
      </c>
      <c r="G10" s="45">
        <f t="shared" si="1"/>
        <v>180</v>
      </c>
    </row>
    <row r="11" spans="1:7" s="2" customFormat="1" ht="24" customHeight="1">
      <c r="A11" s="44" t="s">
        <v>25</v>
      </c>
      <c r="B11" s="45">
        <v>4704</v>
      </c>
      <c r="C11" s="45">
        <v>4567</v>
      </c>
      <c r="D11" s="46">
        <f t="shared" si="0"/>
        <v>9271</v>
      </c>
      <c r="E11" s="47">
        <v>690</v>
      </c>
      <c r="F11" s="47">
        <v>226</v>
      </c>
      <c r="G11" s="45">
        <f t="shared" si="1"/>
        <v>916</v>
      </c>
    </row>
    <row r="12" spans="1:7" s="2" customFormat="1" ht="24" customHeight="1">
      <c r="A12" s="44" t="s">
        <v>26</v>
      </c>
      <c r="B12" s="48">
        <v>926</v>
      </c>
      <c r="C12" s="48">
        <v>855</v>
      </c>
      <c r="D12" s="49">
        <f t="shared" si="0"/>
        <v>1781</v>
      </c>
      <c r="E12" s="17">
        <v>100</v>
      </c>
      <c r="F12" s="17">
        <v>50</v>
      </c>
      <c r="G12" s="48">
        <f t="shared" si="1"/>
        <v>150</v>
      </c>
    </row>
    <row r="13" spans="1:7" s="2" customFormat="1" ht="24" customHeight="1">
      <c r="A13" s="44" t="s">
        <v>27</v>
      </c>
      <c r="B13" s="48">
        <v>915</v>
      </c>
      <c r="C13" s="48">
        <v>937</v>
      </c>
      <c r="D13" s="49">
        <f t="shared" si="0"/>
        <v>1852</v>
      </c>
      <c r="E13" s="17">
        <v>80</v>
      </c>
      <c r="F13" s="17">
        <v>40</v>
      </c>
      <c r="G13" s="25">
        <f t="shared" si="1"/>
        <v>120</v>
      </c>
    </row>
    <row r="14" spans="1:7" s="2" customFormat="1" ht="24" customHeight="1">
      <c r="A14" s="50" t="s">
        <v>44</v>
      </c>
      <c r="B14" s="51">
        <f>SUM(B5:B13)</f>
        <v>16620</v>
      </c>
      <c r="C14" s="51">
        <f>SUM(C5:C13)</f>
        <v>16092</v>
      </c>
      <c r="D14" s="52">
        <f>SUM(D5:D13)</f>
        <v>32712</v>
      </c>
      <c r="E14" s="22">
        <f>SUM(E5:E13)</f>
        <v>2247</v>
      </c>
      <c r="F14" s="51">
        <f>SUM(F5:F13)</f>
        <v>864</v>
      </c>
      <c r="G14" s="48">
        <f t="shared" si="1"/>
        <v>3111</v>
      </c>
    </row>
    <row r="15" spans="1:7" s="2" customFormat="1" ht="24" customHeight="1">
      <c r="A15" s="44" t="s">
        <v>45</v>
      </c>
      <c r="B15" s="45">
        <v>796</v>
      </c>
      <c r="C15" s="45">
        <v>781</v>
      </c>
      <c r="D15" s="46">
        <f>B15+C15</f>
        <v>1577</v>
      </c>
      <c r="E15" s="47">
        <v>66</v>
      </c>
      <c r="F15" s="48">
        <v>33</v>
      </c>
      <c r="G15" s="48">
        <f t="shared" si="1"/>
        <v>99</v>
      </c>
    </row>
    <row r="16" spans="1:7" s="2" customFormat="1" ht="24" customHeight="1">
      <c r="A16" s="53" t="s">
        <v>46</v>
      </c>
      <c r="B16" s="54">
        <f>SUM(B14:B15)</f>
        <v>17416</v>
      </c>
      <c r="C16" s="54">
        <f>SUM(C14:C15)</f>
        <v>16873</v>
      </c>
      <c r="D16" s="55">
        <f>SUM(D14:D15)</f>
        <v>34289</v>
      </c>
      <c r="E16" s="27">
        <f>SUM(E14:E15)</f>
        <v>2313</v>
      </c>
      <c r="F16" s="55">
        <f>SUM(F14:F15)</f>
        <v>897</v>
      </c>
      <c r="G16" s="27">
        <f t="shared" si="1"/>
        <v>3210</v>
      </c>
    </row>
    <row r="17" spans="1:7" ht="21" customHeight="1">
      <c r="A17" s="13" t="s">
        <v>457</v>
      </c>
      <c r="B17" s="1265"/>
      <c r="C17" s="1265"/>
      <c r="D17" s="1265"/>
      <c r="E17" s="1265"/>
      <c r="F17" s="1265"/>
      <c r="G17" s="1265"/>
    </row>
    <row r="18" s="2" customFormat="1" ht="27" customHeight="1"/>
    <row r="19" s="2" customFormat="1" ht="26.25" customHeight="1">
      <c r="A19" s="2" t="s">
        <v>392</v>
      </c>
    </row>
    <row r="20" s="2" customFormat="1" ht="15.75" customHeight="1"/>
    <row r="21" spans="1:7" s="2" customFormat="1" ht="18" customHeight="1">
      <c r="A21" s="1406" t="s">
        <v>31</v>
      </c>
      <c r="B21" s="40" t="s">
        <v>37</v>
      </c>
      <c r="C21" s="40"/>
      <c r="D21" s="40"/>
      <c r="E21" s="41" t="s">
        <v>38</v>
      </c>
      <c r="F21" s="40"/>
      <c r="G21" s="42"/>
    </row>
    <row r="22" spans="1:7" s="2" customFormat="1" ht="33.75" customHeight="1">
      <c r="A22" s="1408"/>
      <c r="B22" s="31" t="s">
        <v>39</v>
      </c>
      <c r="C22" s="31" t="s">
        <v>40</v>
      </c>
      <c r="D22" s="30" t="s">
        <v>5</v>
      </c>
      <c r="E22" s="32" t="s">
        <v>41</v>
      </c>
      <c r="F22" s="43" t="s">
        <v>42</v>
      </c>
      <c r="G22" s="31" t="s">
        <v>5</v>
      </c>
    </row>
    <row r="23" spans="1:7" s="2" customFormat="1" ht="29.25" customHeight="1">
      <c r="A23" s="44" t="s">
        <v>32</v>
      </c>
      <c r="B23" s="45">
        <v>5654</v>
      </c>
      <c r="C23" s="45">
        <v>5455</v>
      </c>
      <c r="D23" s="46">
        <f>B23+C23</f>
        <v>11109</v>
      </c>
      <c r="E23" s="47">
        <v>802</v>
      </c>
      <c r="F23" s="47">
        <v>260</v>
      </c>
      <c r="G23" s="45">
        <f aca="true" t="shared" si="2" ref="G23:G28">E23+F23</f>
        <v>1062</v>
      </c>
    </row>
    <row r="24" spans="1:7" s="2" customFormat="1" ht="29.25" customHeight="1">
      <c r="A24" s="44" t="s">
        <v>33</v>
      </c>
      <c r="B24" s="45">
        <v>4198</v>
      </c>
      <c r="C24" s="45">
        <v>4015</v>
      </c>
      <c r="D24" s="46">
        <f>B24+C24</f>
        <v>8213</v>
      </c>
      <c r="E24" s="47">
        <v>514</v>
      </c>
      <c r="F24" s="47">
        <v>257</v>
      </c>
      <c r="G24" s="45">
        <f t="shared" si="2"/>
        <v>771</v>
      </c>
    </row>
    <row r="25" spans="1:7" s="2" customFormat="1" ht="29.25" customHeight="1">
      <c r="A25" s="44" t="s">
        <v>34</v>
      </c>
      <c r="B25" s="48">
        <v>3589</v>
      </c>
      <c r="C25" s="48">
        <v>3414</v>
      </c>
      <c r="D25" s="49">
        <f>B25+C25</f>
        <v>7003</v>
      </c>
      <c r="E25" s="17">
        <v>482</v>
      </c>
      <c r="F25" s="17">
        <v>196</v>
      </c>
      <c r="G25" s="48">
        <f t="shared" si="2"/>
        <v>678</v>
      </c>
    </row>
    <row r="26" spans="1:7" s="2" customFormat="1" ht="29.25" customHeight="1">
      <c r="A26" s="1197" t="s">
        <v>47</v>
      </c>
      <c r="B26" s="48">
        <v>3179</v>
      </c>
      <c r="C26" s="48">
        <v>3208</v>
      </c>
      <c r="D26" s="49">
        <f>B26+C26</f>
        <v>6387</v>
      </c>
      <c r="E26" s="17">
        <v>449</v>
      </c>
      <c r="F26" s="17">
        <v>151</v>
      </c>
      <c r="G26" s="48">
        <f t="shared" si="2"/>
        <v>600</v>
      </c>
    </row>
    <row r="27" spans="1:7" s="2" customFormat="1" ht="24" customHeight="1">
      <c r="A27" s="50" t="s">
        <v>44</v>
      </c>
      <c r="B27" s="22">
        <f aca="true" t="shared" si="3" ref="B27:G27">SUM(B23:B26)</f>
        <v>16620</v>
      </c>
      <c r="C27" s="51">
        <f t="shared" si="3"/>
        <v>16092</v>
      </c>
      <c r="D27" s="52">
        <f t="shared" si="3"/>
        <v>32712</v>
      </c>
      <c r="E27" s="22">
        <f t="shared" si="3"/>
        <v>2247</v>
      </c>
      <c r="F27" s="22">
        <f t="shared" si="3"/>
        <v>864</v>
      </c>
      <c r="G27" s="51">
        <f t="shared" si="3"/>
        <v>3111</v>
      </c>
    </row>
    <row r="28" spans="1:7" s="2" customFormat="1" ht="24" customHeight="1">
      <c r="A28" s="44" t="s">
        <v>45</v>
      </c>
      <c r="B28" s="48">
        <v>796</v>
      </c>
      <c r="C28" s="48">
        <v>781</v>
      </c>
      <c r="D28" s="49">
        <f>B28+C28</f>
        <v>1577</v>
      </c>
      <c r="E28" s="17">
        <v>66</v>
      </c>
      <c r="F28" s="17">
        <v>33</v>
      </c>
      <c r="G28" s="48">
        <f t="shared" si="2"/>
        <v>99</v>
      </c>
    </row>
    <row r="29" spans="1:7" s="2" customFormat="1" ht="24" customHeight="1">
      <c r="A29" s="53" t="s">
        <v>46</v>
      </c>
      <c r="B29" s="54">
        <f aca="true" t="shared" si="4" ref="B29:G29">SUM(B27:B28)</f>
        <v>17416</v>
      </c>
      <c r="C29" s="54">
        <f t="shared" si="4"/>
        <v>16873</v>
      </c>
      <c r="D29" s="54">
        <f t="shared" si="4"/>
        <v>34289</v>
      </c>
      <c r="E29" s="54">
        <f t="shared" si="4"/>
        <v>2313</v>
      </c>
      <c r="F29" s="55">
        <f t="shared" si="4"/>
        <v>897</v>
      </c>
      <c r="G29" s="27">
        <f t="shared" si="4"/>
        <v>3210</v>
      </c>
    </row>
    <row r="30" ht="7.5" customHeight="1">
      <c r="A30" s="39"/>
    </row>
    <row r="31" ht="20.25" customHeight="1">
      <c r="A31" s="13" t="s">
        <v>457</v>
      </c>
    </row>
  </sheetData>
  <sheetProtection/>
  <mergeCells count="2">
    <mergeCell ref="A3:A4"/>
    <mergeCell ref="A21:A22"/>
  </mergeCells>
  <printOptions/>
  <pageMargins left="0.88" right="0.27" top="0.82" bottom="0.41" header="0.5" footer="0.25"/>
  <pageSetup horizontalDpi="300" verticalDpi="300" orientation="portrait" paperSize="9" r:id="rId1"/>
  <headerFooter alignWithMargins="0">
    <oddHeader>&amp;C- 10 -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pane xSplit="2" ySplit="6" topLeftCell="C7" activePane="bottomRight" state="frozen"/>
      <selection pane="topLeft" activeCell="B12" sqref="B12:H12"/>
      <selection pane="topRight" activeCell="B12" sqref="B12:H12"/>
      <selection pane="bottomLeft" activeCell="B12" sqref="B12:H12"/>
      <selection pane="bottomRight" activeCell="B18" sqref="B18"/>
    </sheetView>
  </sheetViews>
  <sheetFormatPr defaultColWidth="9.140625" defaultRowHeight="12.75"/>
  <cols>
    <col min="1" max="1" width="33.57421875" style="57" customWidth="1"/>
    <col min="2" max="8" width="8.00390625" style="57" customWidth="1"/>
    <col min="9" max="9" width="10.8515625" style="57" customWidth="1"/>
    <col min="10" max="10" width="4.8515625" style="57" customWidth="1"/>
    <col min="11" max="16384" width="9.140625" style="57" customWidth="1"/>
  </cols>
  <sheetData>
    <row r="1" spans="1:7" ht="25.5" customHeight="1">
      <c r="A1" s="1166" t="s">
        <v>393</v>
      </c>
      <c r="B1" s="56"/>
      <c r="C1" s="56"/>
      <c r="D1" s="56"/>
      <c r="E1" s="56"/>
      <c r="F1" s="56"/>
      <c r="G1" s="56"/>
    </row>
    <row r="2" ht="16.5" customHeight="1"/>
    <row r="3" spans="1:8" s="61" customFormat="1" ht="18" customHeight="1">
      <c r="A3" s="1409" t="s">
        <v>15</v>
      </c>
      <c r="B3" s="1412" t="s">
        <v>5</v>
      </c>
      <c r="C3" s="58" t="s">
        <v>49</v>
      </c>
      <c r="D3" s="59"/>
      <c r="E3" s="59"/>
      <c r="F3" s="59"/>
      <c r="G3" s="59"/>
      <c r="H3" s="60"/>
    </row>
    <row r="4" spans="1:8" s="61" customFormat="1" ht="18" customHeight="1">
      <c r="A4" s="1410"/>
      <c r="B4" s="1413"/>
      <c r="C4" s="1409" t="s">
        <v>50</v>
      </c>
      <c r="D4" s="1415"/>
      <c r="E4" s="62" t="s">
        <v>51</v>
      </c>
      <c r="F4" s="59"/>
      <c r="G4" s="59"/>
      <c r="H4" s="60"/>
    </row>
    <row r="5" spans="1:8" s="61" customFormat="1" ht="18" customHeight="1">
      <c r="A5" s="1410"/>
      <c r="B5" s="1413"/>
      <c r="C5" s="1411"/>
      <c r="D5" s="1416"/>
      <c r="E5" s="64" t="s">
        <v>52</v>
      </c>
      <c r="F5" s="65"/>
      <c r="G5" s="64" t="s">
        <v>53</v>
      </c>
      <c r="H5" s="65"/>
    </row>
    <row r="6" spans="1:8" s="61" customFormat="1" ht="18" customHeight="1">
      <c r="A6" s="1411"/>
      <c r="B6" s="1414"/>
      <c r="C6" s="66" t="s">
        <v>54</v>
      </c>
      <c r="D6" s="63" t="s">
        <v>7</v>
      </c>
      <c r="E6" s="67" t="s">
        <v>54</v>
      </c>
      <c r="F6" s="68" t="s">
        <v>7</v>
      </c>
      <c r="G6" s="69" t="s">
        <v>54</v>
      </c>
      <c r="H6" s="63" t="s">
        <v>7</v>
      </c>
    </row>
    <row r="7" spans="1:9" s="61" customFormat="1" ht="29.25" customHeight="1">
      <c r="A7" s="70" t="s">
        <v>55</v>
      </c>
      <c r="B7" s="71">
        <f>SUM(C7,E7,G7)</f>
        <v>35</v>
      </c>
      <c r="C7" s="72">
        <v>25</v>
      </c>
      <c r="D7" s="877">
        <f aca="true" t="shared" si="0" ref="D7:D18">(C7/B7)*100</f>
        <v>71.42857142857143</v>
      </c>
      <c r="E7" s="73">
        <v>8</v>
      </c>
      <c r="F7" s="877">
        <f>(E7/B7)*100</f>
        <v>22.857142857142858</v>
      </c>
      <c r="G7" s="74">
        <v>2</v>
      </c>
      <c r="H7" s="881">
        <f>(G7/B7)*100</f>
        <v>5.714285714285714</v>
      </c>
      <c r="I7" s="75"/>
    </row>
    <row r="8" spans="1:9" s="61" customFormat="1" ht="29.25" customHeight="1">
      <c r="A8" s="70" t="s">
        <v>56</v>
      </c>
      <c r="B8" s="71">
        <f aca="true" t="shared" si="1" ref="B8:B18">SUM(C8,E8,G8)</f>
        <v>29</v>
      </c>
      <c r="C8" s="72">
        <v>23</v>
      </c>
      <c r="D8" s="877">
        <f t="shared" si="0"/>
        <v>79.3103448275862</v>
      </c>
      <c r="E8" s="76" t="s">
        <v>36</v>
      </c>
      <c r="F8" s="77" t="s">
        <v>57</v>
      </c>
      <c r="G8" s="74">
        <v>6</v>
      </c>
      <c r="H8" s="881">
        <f aca="true" t="shared" si="2" ref="H8:H18">(G8/B8)*100</f>
        <v>20.689655172413794</v>
      </c>
      <c r="I8" s="75"/>
    </row>
    <row r="9" spans="1:9" s="61" customFormat="1" ht="29.25" customHeight="1">
      <c r="A9" s="70" t="s">
        <v>58</v>
      </c>
      <c r="B9" s="71">
        <f t="shared" si="1"/>
        <v>27</v>
      </c>
      <c r="C9" s="72">
        <v>22</v>
      </c>
      <c r="D9" s="877">
        <v>82</v>
      </c>
      <c r="E9" s="73">
        <v>3</v>
      </c>
      <c r="F9" s="877">
        <f aca="true" t="shared" si="3" ref="F9:F18">(E9/B9)*100</f>
        <v>11.11111111111111</v>
      </c>
      <c r="G9" s="74">
        <v>2</v>
      </c>
      <c r="H9" s="881">
        <f t="shared" si="2"/>
        <v>7.4074074074074066</v>
      </c>
      <c r="I9" s="75"/>
    </row>
    <row r="10" spans="1:9" s="61" customFormat="1" ht="29.25" customHeight="1">
      <c r="A10" s="70" t="s">
        <v>59</v>
      </c>
      <c r="B10" s="71">
        <f t="shared" si="1"/>
        <v>38</v>
      </c>
      <c r="C10" s="72">
        <v>28</v>
      </c>
      <c r="D10" s="877">
        <v>73</v>
      </c>
      <c r="E10" s="73">
        <v>9</v>
      </c>
      <c r="F10" s="877">
        <f t="shared" si="3"/>
        <v>23.684210526315788</v>
      </c>
      <c r="G10" s="74">
        <v>1</v>
      </c>
      <c r="H10" s="881">
        <f>(G10/B10)*100</f>
        <v>2.631578947368421</v>
      </c>
      <c r="I10" s="75"/>
    </row>
    <row r="11" spans="1:9" s="61" customFormat="1" ht="29.25" customHeight="1">
      <c r="A11" s="70" t="s">
        <v>60</v>
      </c>
      <c r="B11" s="71">
        <f t="shared" si="1"/>
        <v>30</v>
      </c>
      <c r="C11" s="72">
        <v>25</v>
      </c>
      <c r="D11" s="877">
        <f t="shared" si="0"/>
        <v>83.33333333333334</v>
      </c>
      <c r="E11" s="73">
        <v>5</v>
      </c>
      <c r="F11" s="877">
        <f t="shared" si="3"/>
        <v>16.666666666666664</v>
      </c>
      <c r="G11" s="76" t="s">
        <v>57</v>
      </c>
      <c r="H11" s="77" t="s">
        <v>57</v>
      </c>
      <c r="I11" s="75"/>
    </row>
    <row r="12" spans="1:9" s="61" customFormat="1" ht="29.25" customHeight="1">
      <c r="A12" s="70" t="s">
        <v>61</v>
      </c>
      <c r="B12" s="71">
        <f t="shared" si="1"/>
        <v>17</v>
      </c>
      <c r="C12" s="72">
        <v>14</v>
      </c>
      <c r="D12" s="877">
        <f t="shared" si="0"/>
        <v>82.35294117647058</v>
      </c>
      <c r="E12" s="73">
        <v>3</v>
      </c>
      <c r="F12" s="877">
        <f t="shared" si="3"/>
        <v>17.647058823529413</v>
      </c>
      <c r="G12" s="76" t="s">
        <v>57</v>
      </c>
      <c r="H12" s="77" t="s">
        <v>57</v>
      </c>
      <c r="I12" s="75"/>
    </row>
    <row r="13" spans="1:9" s="61" customFormat="1" ht="29.25" customHeight="1">
      <c r="A13" s="70" t="s">
        <v>62</v>
      </c>
      <c r="B13" s="71">
        <f t="shared" si="1"/>
        <v>73</v>
      </c>
      <c r="C13" s="72">
        <v>44</v>
      </c>
      <c r="D13" s="877">
        <f t="shared" si="0"/>
        <v>60.273972602739725</v>
      </c>
      <c r="E13" s="73">
        <v>13</v>
      </c>
      <c r="F13" s="877">
        <f t="shared" si="3"/>
        <v>17.80821917808219</v>
      </c>
      <c r="G13" s="74">
        <v>16</v>
      </c>
      <c r="H13" s="881">
        <f t="shared" si="2"/>
        <v>21.91780821917808</v>
      </c>
      <c r="I13" s="75"/>
    </row>
    <row r="14" spans="1:9" s="61" customFormat="1" ht="29.25" customHeight="1">
      <c r="A14" s="70" t="s">
        <v>63</v>
      </c>
      <c r="B14" s="71">
        <f t="shared" si="1"/>
        <v>26</v>
      </c>
      <c r="C14" s="72">
        <v>20</v>
      </c>
      <c r="D14" s="877">
        <f t="shared" si="0"/>
        <v>76.92307692307693</v>
      </c>
      <c r="E14" s="73">
        <v>4</v>
      </c>
      <c r="F14" s="877">
        <f t="shared" si="3"/>
        <v>15.384615384615385</v>
      </c>
      <c r="G14" s="74">
        <v>2</v>
      </c>
      <c r="H14" s="881">
        <f t="shared" si="2"/>
        <v>7.6923076923076925</v>
      </c>
      <c r="I14" s="75"/>
    </row>
    <row r="15" spans="1:9" s="61" customFormat="1" ht="29.25" customHeight="1">
      <c r="A15" s="70" t="s">
        <v>64</v>
      </c>
      <c r="B15" s="78">
        <f t="shared" si="1"/>
        <v>16</v>
      </c>
      <c r="C15" s="79">
        <v>12</v>
      </c>
      <c r="D15" s="878">
        <f t="shared" si="0"/>
        <v>75</v>
      </c>
      <c r="E15" s="80">
        <v>3</v>
      </c>
      <c r="F15" s="878">
        <f t="shared" si="3"/>
        <v>18.75</v>
      </c>
      <c r="G15" s="869">
        <v>1</v>
      </c>
      <c r="H15" s="882">
        <f t="shared" si="2"/>
        <v>6.25</v>
      </c>
      <c r="I15" s="75"/>
    </row>
    <row r="16" spans="1:9" s="61" customFormat="1" ht="29.25" customHeight="1">
      <c r="A16" s="83" t="s">
        <v>65</v>
      </c>
      <c r="B16" s="71">
        <f t="shared" si="1"/>
        <v>291</v>
      </c>
      <c r="C16" s="72">
        <f>SUM(C7:C15)</f>
        <v>213</v>
      </c>
      <c r="D16" s="879">
        <f t="shared" si="0"/>
        <v>73.19587628865979</v>
      </c>
      <c r="E16" s="73">
        <f>SUM(E7:E15)</f>
        <v>48</v>
      </c>
      <c r="F16" s="877">
        <f t="shared" si="3"/>
        <v>16.49484536082474</v>
      </c>
      <c r="G16" s="73">
        <f>SUM(G7:G15)</f>
        <v>30</v>
      </c>
      <c r="H16" s="883">
        <f t="shared" si="2"/>
        <v>10.309278350515463</v>
      </c>
      <c r="I16" s="75"/>
    </row>
    <row r="17" spans="1:9" s="61" customFormat="1" ht="29.25" customHeight="1">
      <c r="A17" s="84" t="s">
        <v>66</v>
      </c>
      <c r="B17" s="71">
        <f t="shared" si="1"/>
        <v>14</v>
      </c>
      <c r="C17" s="72">
        <v>9</v>
      </c>
      <c r="D17" s="878">
        <f t="shared" si="0"/>
        <v>64.28571428571429</v>
      </c>
      <c r="E17" s="73">
        <v>5</v>
      </c>
      <c r="F17" s="1167">
        <f t="shared" si="3"/>
        <v>35.714285714285715</v>
      </c>
      <c r="G17" s="76" t="s">
        <v>57</v>
      </c>
      <c r="H17" s="82" t="s">
        <v>57</v>
      </c>
      <c r="I17" s="75"/>
    </row>
    <row r="18" spans="1:9" s="61" customFormat="1" ht="29.25" customHeight="1">
      <c r="A18" s="84" t="s">
        <v>67</v>
      </c>
      <c r="B18" s="85">
        <f t="shared" si="1"/>
        <v>305</v>
      </c>
      <c r="C18" s="86">
        <f>SUM(C16+C17)</f>
        <v>222</v>
      </c>
      <c r="D18" s="880">
        <f t="shared" si="0"/>
        <v>72.78688524590164</v>
      </c>
      <c r="E18" s="87">
        <f>SUM(E16+E17)</f>
        <v>53</v>
      </c>
      <c r="F18" s="1168">
        <f t="shared" si="3"/>
        <v>17.37704918032787</v>
      </c>
      <c r="G18" s="87">
        <f>SUM(G16:G17)</f>
        <v>30</v>
      </c>
      <c r="H18" s="884">
        <f t="shared" si="2"/>
        <v>9.836065573770492</v>
      </c>
      <c r="I18" s="75"/>
    </row>
    <row r="19" ht="21.75" customHeight="1"/>
    <row r="20" ht="15" customHeight="1">
      <c r="A20" s="1166" t="s">
        <v>394</v>
      </c>
    </row>
    <row r="21" ht="16.5" customHeight="1"/>
    <row r="22" spans="1:8" s="61" customFormat="1" ht="18" customHeight="1">
      <c r="A22" s="1412" t="s">
        <v>31</v>
      </c>
      <c r="B22" s="1412" t="s">
        <v>5</v>
      </c>
      <c r="C22" s="58" t="s">
        <v>49</v>
      </c>
      <c r="D22" s="59"/>
      <c r="E22" s="59"/>
      <c r="F22" s="59"/>
      <c r="G22" s="59"/>
      <c r="H22" s="60"/>
    </row>
    <row r="23" spans="1:8" s="61" customFormat="1" ht="16.5" customHeight="1">
      <c r="A23" s="1417"/>
      <c r="B23" s="1413"/>
      <c r="C23" s="1409" t="s">
        <v>50</v>
      </c>
      <c r="D23" s="1415"/>
      <c r="E23" s="62" t="s">
        <v>51</v>
      </c>
      <c r="F23" s="59"/>
      <c r="G23" s="59"/>
      <c r="H23" s="60"/>
    </row>
    <row r="24" spans="1:8" s="61" customFormat="1" ht="16.5" customHeight="1">
      <c r="A24" s="1417"/>
      <c r="B24" s="1413"/>
      <c r="C24" s="1411"/>
      <c r="D24" s="1416"/>
      <c r="E24" s="64" t="s">
        <v>52</v>
      </c>
      <c r="F24" s="65"/>
      <c r="G24" s="64" t="s">
        <v>53</v>
      </c>
      <c r="H24" s="65"/>
    </row>
    <row r="25" spans="1:8" s="61" customFormat="1" ht="16.5" customHeight="1">
      <c r="A25" s="1418"/>
      <c r="B25" s="1414"/>
      <c r="C25" s="66" t="s">
        <v>54</v>
      </c>
      <c r="D25" s="63" t="s">
        <v>7</v>
      </c>
      <c r="E25" s="67" t="s">
        <v>54</v>
      </c>
      <c r="F25" s="68" t="s">
        <v>7</v>
      </c>
      <c r="G25" s="88" t="s">
        <v>54</v>
      </c>
      <c r="H25" s="63" t="s">
        <v>7</v>
      </c>
    </row>
    <row r="26" spans="1:9" s="61" customFormat="1" ht="30" customHeight="1">
      <c r="A26" s="70" t="s">
        <v>68</v>
      </c>
      <c r="B26" s="71">
        <f aca="true" t="shared" si="4" ref="B26:B31">SUM(C26,E26,G26)</f>
        <v>93</v>
      </c>
      <c r="C26" s="72">
        <v>72</v>
      </c>
      <c r="D26" s="877">
        <f aca="true" t="shared" si="5" ref="D26:D31">(C26/B26)*100</f>
        <v>77.41935483870968</v>
      </c>
      <c r="E26" s="73">
        <v>11</v>
      </c>
      <c r="F26" s="877">
        <f aca="true" t="shared" si="6" ref="F26:F31">(E26/B26)*100</f>
        <v>11.827956989247312</v>
      </c>
      <c r="G26" s="89">
        <v>10</v>
      </c>
      <c r="H26" s="881">
        <f>G26/B26*100</f>
        <v>10.75268817204301</v>
      </c>
      <c r="I26" s="75"/>
    </row>
    <row r="27" spans="1:9" s="61" customFormat="1" ht="30" customHeight="1">
      <c r="A27" s="70" t="s">
        <v>69</v>
      </c>
      <c r="B27" s="71">
        <f t="shared" si="4"/>
        <v>79</v>
      </c>
      <c r="C27" s="72">
        <v>58</v>
      </c>
      <c r="D27" s="877">
        <f t="shared" si="5"/>
        <v>73.41772151898735</v>
      </c>
      <c r="E27" s="73">
        <v>17</v>
      </c>
      <c r="F27" s="877">
        <f t="shared" si="6"/>
        <v>21.518987341772153</v>
      </c>
      <c r="G27" s="89">
        <v>4</v>
      </c>
      <c r="H27" s="881">
        <f>G27/B27*100</f>
        <v>5.063291139240507</v>
      </c>
      <c r="I27" s="75"/>
    </row>
    <row r="28" spans="1:9" s="61" customFormat="1" ht="30" customHeight="1">
      <c r="A28" s="70" t="s">
        <v>70</v>
      </c>
      <c r="B28" s="71">
        <f t="shared" si="4"/>
        <v>66</v>
      </c>
      <c r="C28" s="72">
        <v>48</v>
      </c>
      <c r="D28" s="877">
        <f t="shared" si="5"/>
        <v>72.72727272727273</v>
      </c>
      <c r="E28" s="73">
        <v>12</v>
      </c>
      <c r="F28" s="877">
        <f t="shared" si="6"/>
        <v>18.181818181818183</v>
      </c>
      <c r="G28" s="89">
        <v>6</v>
      </c>
      <c r="H28" s="881">
        <f>G28/B28*100</f>
        <v>9.090909090909092</v>
      </c>
      <c r="I28" s="75"/>
    </row>
    <row r="29" spans="1:9" s="61" customFormat="1" ht="30" customHeight="1">
      <c r="A29" s="70" t="s">
        <v>71</v>
      </c>
      <c r="B29" s="71">
        <f t="shared" si="4"/>
        <v>53</v>
      </c>
      <c r="C29" s="72">
        <v>35</v>
      </c>
      <c r="D29" s="877">
        <f t="shared" si="5"/>
        <v>66.0377358490566</v>
      </c>
      <c r="E29" s="73">
        <v>8</v>
      </c>
      <c r="F29" s="877">
        <f t="shared" si="6"/>
        <v>15.09433962264151</v>
      </c>
      <c r="G29" s="89">
        <v>10</v>
      </c>
      <c r="H29" s="881">
        <f>(G29/B29)*100</f>
        <v>18.867924528301888</v>
      </c>
      <c r="I29" s="75"/>
    </row>
    <row r="30" spans="1:9" s="61" customFormat="1" ht="30" customHeight="1">
      <c r="A30" s="1198" t="s">
        <v>429</v>
      </c>
      <c r="B30" s="71">
        <f t="shared" si="4"/>
        <v>14</v>
      </c>
      <c r="C30" s="72">
        <v>9</v>
      </c>
      <c r="D30" s="877">
        <f t="shared" si="5"/>
        <v>64.28571428571429</v>
      </c>
      <c r="E30" s="73">
        <v>5</v>
      </c>
      <c r="F30" s="1167">
        <f t="shared" si="6"/>
        <v>35.714285714285715</v>
      </c>
      <c r="G30" s="81" t="s">
        <v>57</v>
      </c>
      <c r="H30" s="82" t="s">
        <v>57</v>
      </c>
      <c r="I30" s="75"/>
    </row>
    <row r="31" spans="1:9" s="61" customFormat="1" ht="24" customHeight="1">
      <c r="A31" s="90" t="s">
        <v>72</v>
      </c>
      <c r="B31" s="85">
        <f t="shared" si="4"/>
        <v>305</v>
      </c>
      <c r="C31" s="86">
        <f>SUM(C26:C30)</f>
        <v>222</v>
      </c>
      <c r="D31" s="880">
        <f t="shared" si="5"/>
        <v>72.78688524590164</v>
      </c>
      <c r="E31" s="87">
        <f>SUM(E26:E30)</f>
        <v>53</v>
      </c>
      <c r="F31" s="1168">
        <f t="shared" si="6"/>
        <v>17.37704918032787</v>
      </c>
      <c r="G31" s="91">
        <f>SUM(G26:G30)</f>
        <v>30</v>
      </c>
      <c r="H31" s="885">
        <f>G31/B31*100</f>
        <v>9.836065573770492</v>
      </c>
      <c r="I31" s="75"/>
    </row>
    <row r="32" ht="17.25" customHeight="1">
      <c r="A32" s="57" t="s">
        <v>73</v>
      </c>
    </row>
  </sheetData>
  <sheetProtection/>
  <mergeCells count="6">
    <mergeCell ref="A3:A6"/>
    <mergeCell ref="B3:B6"/>
    <mergeCell ref="C4:D5"/>
    <mergeCell ref="B22:B25"/>
    <mergeCell ref="C23:D24"/>
    <mergeCell ref="A22:A25"/>
  </mergeCells>
  <printOptions/>
  <pageMargins left="0.77" right="0.37" top="0.54" bottom="0.26" header="0.31" footer="0.25"/>
  <pageSetup horizontalDpi="600" verticalDpi="600" orientation="portrait" paperSize="9" r:id="rId1"/>
  <headerFooter alignWithMargins="0">
    <oddHeader>&amp;C&amp;"Times New Roman,Regular"- 11 -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Q32"/>
  <sheetViews>
    <sheetView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7" sqref="S17"/>
    </sheetView>
  </sheetViews>
  <sheetFormatPr defaultColWidth="9.140625" defaultRowHeight="12.75"/>
  <cols>
    <col min="1" max="1" width="32.421875" style="96" customWidth="1"/>
    <col min="2" max="2" width="9.140625" style="97" customWidth="1"/>
    <col min="3" max="3" width="8.421875" style="97" customWidth="1"/>
    <col min="4" max="4" width="8.140625" style="97" customWidth="1"/>
    <col min="5" max="5" width="8.57421875" style="97" customWidth="1"/>
    <col min="6" max="6" width="8.7109375" style="97" customWidth="1"/>
    <col min="7" max="7" width="8.28125" style="97" customWidth="1"/>
    <col min="8" max="10" width="8.28125" style="97" hidden="1" customWidth="1"/>
    <col min="11" max="12" width="8.28125" style="97" customWidth="1"/>
    <col min="13" max="13" width="9.140625" style="96" customWidth="1"/>
    <col min="14" max="14" width="7.7109375" style="95" customWidth="1"/>
    <col min="15" max="15" width="7.57421875" style="95" customWidth="1"/>
    <col min="16" max="16" width="7.8515625" style="95" customWidth="1"/>
    <col min="17" max="17" width="6.7109375" style="95" customWidth="1"/>
    <col min="18" max="18" width="5.7109375" style="98" customWidth="1"/>
    <col min="19" max="43" width="9.140625" style="95" customWidth="1"/>
    <col min="44" max="16384" width="9.140625" style="96" customWidth="1"/>
  </cols>
  <sheetData>
    <row r="1" spans="1:43" s="92" customFormat="1" ht="21" customHeight="1">
      <c r="A1" s="1169" t="s">
        <v>395</v>
      </c>
      <c r="G1" s="1030"/>
      <c r="H1" s="1030"/>
      <c r="I1" s="1030"/>
      <c r="J1" s="1030"/>
      <c r="K1" s="93"/>
      <c r="L1" s="93"/>
      <c r="N1" s="94"/>
      <c r="O1" s="94"/>
      <c r="P1" s="94"/>
      <c r="Q1" s="94"/>
      <c r="R1" s="95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</row>
    <row r="2" ht="7.5" customHeight="1"/>
    <row r="3" spans="1:43" s="103" customFormat="1" ht="14.25" customHeight="1">
      <c r="A3" s="1419" t="s">
        <v>15</v>
      </c>
      <c r="B3" s="1422" t="s">
        <v>74</v>
      </c>
      <c r="C3" s="1423"/>
      <c r="D3" s="1424"/>
      <c r="E3" s="1422" t="s">
        <v>75</v>
      </c>
      <c r="F3" s="1423"/>
      <c r="G3" s="1423"/>
      <c r="H3" s="1064"/>
      <c r="I3" s="1202" t="s">
        <v>323</v>
      </c>
      <c r="J3" s="1065"/>
      <c r="K3" s="1428" t="s">
        <v>76</v>
      </c>
      <c r="L3" s="1429"/>
      <c r="M3" s="1429"/>
      <c r="N3" s="1429"/>
      <c r="O3" s="1429"/>
      <c r="P3" s="1430"/>
      <c r="Q3" s="1285"/>
      <c r="R3" s="101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</row>
    <row r="4" spans="1:43" s="103" customFormat="1" ht="15" customHeight="1">
      <c r="A4" s="1420"/>
      <c r="B4" s="1425"/>
      <c r="C4" s="1426"/>
      <c r="D4" s="1427"/>
      <c r="E4" s="1425"/>
      <c r="F4" s="1426"/>
      <c r="G4" s="1426"/>
      <c r="H4" s="1066"/>
      <c r="I4" s="1067"/>
      <c r="J4" s="1067"/>
      <c r="K4" s="1428" t="s">
        <v>80</v>
      </c>
      <c r="L4" s="1429"/>
      <c r="M4" s="1430"/>
      <c r="N4" s="1428" t="s">
        <v>77</v>
      </c>
      <c r="O4" s="1429"/>
      <c r="P4" s="1430"/>
      <c r="Q4" s="1285"/>
      <c r="R4" s="101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</row>
    <row r="5" spans="1:43" s="103" customFormat="1" ht="14.25" customHeight="1">
      <c r="A5" s="1421"/>
      <c r="B5" s="99" t="s">
        <v>5</v>
      </c>
      <c r="C5" s="104" t="s">
        <v>39</v>
      </c>
      <c r="D5" s="105" t="s">
        <v>40</v>
      </c>
      <c r="E5" s="99" t="s">
        <v>5</v>
      </c>
      <c r="F5" s="104" t="s">
        <v>39</v>
      </c>
      <c r="G5" s="1069" t="s">
        <v>40</v>
      </c>
      <c r="H5" s="99" t="s">
        <v>5</v>
      </c>
      <c r="I5" s="104" t="s">
        <v>39</v>
      </c>
      <c r="J5" s="100" t="s">
        <v>40</v>
      </c>
      <c r="K5" s="99" t="s">
        <v>5</v>
      </c>
      <c r="L5" s="104" t="s">
        <v>39</v>
      </c>
      <c r="M5" s="100" t="s">
        <v>40</v>
      </c>
      <c r="N5" s="99" t="s">
        <v>5</v>
      </c>
      <c r="O5" s="104" t="s">
        <v>39</v>
      </c>
      <c r="P5" s="100" t="s">
        <v>40</v>
      </c>
      <c r="Q5" s="1285"/>
      <c r="R5" s="101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</row>
    <row r="6" spans="1:43" s="103" customFormat="1" ht="18.75" customHeight="1">
      <c r="A6" s="106" t="s">
        <v>55</v>
      </c>
      <c r="B6" s="107">
        <f aca="true" t="shared" si="0" ref="B6:B14">SUM(E6,K6,N6)</f>
        <v>16277</v>
      </c>
      <c r="C6" s="108">
        <f aca="true" t="shared" si="1" ref="C6:C14">SUM(F6,L6,O6)</f>
        <v>8206</v>
      </c>
      <c r="D6" s="109">
        <f aca="true" t="shared" si="2" ref="D6:D14">SUM(G6,M6,P6)</f>
        <v>8071</v>
      </c>
      <c r="E6" s="107">
        <f>F6+G6</f>
        <v>10447</v>
      </c>
      <c r="F6" s="110">
        <v>5305</v>
      </c>
      <c r="G6" s="109">
        <v>5142</v>
      </c>
      <c r="H6" s="107">
        <f>I6+J6</f>
        <v>5830</v>
      </c>
      <c r="I6" s="108">
        <v>2901</v>
      </c>
      <c r="J6" s="109">
        <v>2929</v>
      </c>
      <c r="K6" s="107">
        <f>L6+M6</f>
        <v>5259</v>
      </c>
      <c r="L6" s="110">
        <v>2647</v>
      </c>
      <c r="M6" s="111">
        <v>2612</v>
      </c>
      <c r="N6" s="107">
        <f>H6-K6</f>
        <v>571</v>
      </c>
      <c r="O6" s="110">
        <f>I6-L6</f>
        <v>254</v>
      </c>
      <c r="P6" s="111">
        <f>J6-M6</f>
        <v>317</v>
      </c>
      <c r="Q6" s="109"/>
      <c r="R6" s="101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</row>
    <row r="7" spans="1:43" s="103" customFormat="1" ht="18.75" customHeight="1">
      <c r="A7" s="106" t="s">
        <v>56</v>
      </c>
      <c r="B7" s="107">
        <f t="shared" si="0"/>
        <v>10673</v>
      </c>
      <c r="C7" s="110">
        <f t="shared" si="1"/>
        <v>5500</v>
      </c>
      <c r="D7" s="109">
        <f t="shared" si="2"/>
        <v>5173</v>
      </c>
      <c r="E7" s="107">
        <f aca="true" t="shared" si="3" ref="E7:E17">F7+G7</f>
        <v>9304</v>
      </c>
      <c r="F7" s="110">
        <v>4726</v>
      </c>
      <c r="G7" s="109">
        <v>4578</v>
      </c>
      <c r="H7" s="107">
        <f aca="true" t="shared" si="4" ref="H7:H17">I7+J7</f>
        <v>1369</v>
      </c>
      <c r="I7" s="110">
        <v>774</v>
      </c>
      <c r="J7" s="109">
        <v>595</v>
      </c>
      <c r="K7" s="113" t="s">
        <v>36</v>
      </c>
      <c r="L7" s="114" t="s">
        <v>36</v>
      </c>
      <c r="M7" s="114" t="s">
        <v>36</v>
      </c>
      <c r="N7" s="107">
        <f>H7</f>
        <v>1369</v>
      </c>
      <c r="O7" s="110">
        <f>I7</f>
        <v>774</v>
      </c>
      <c r="P7" s="111">
        <f>J7</f>
        <v>595</v>
      </c>
      <c r="Q7" s="109"/>
      <c r="R7" s="101"/>
      <c r="S7" s="102"/>
      <c r="T7" s="102"/>
      <c r="U7" s="115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</row>
    <row r="8" spans="1:43" s="103" customFormat="1" ht="18.75" customHeight="1">
      <c r="A8" s="106" t="s">
        <v>58</v>
      </c>
      <c r="B8" s="107">
        <f t="shared" si="0"/>
        <v>10329</v>
      </c>
      <c r="C8" s="110">
        <f t="shared" si="1"/>
        <v>5347</v>
      </c>
      <c r="D8" s="109">
        <f t="shared" si="2"/>
        <v>4982</v>
      </c>
      <c r="E8" s="107">
        <f t="shared" si="3"/>
        <v>8614</v>
      </c>
      <c r="F8" s="110">
        <v>4465</v>
      </c>
      <c r="G8" s="109">
        <v>4149</v>
      </c>
      <c r="H8" s="107">
        <f t="shared" si="4"/>
        <v>1715</v>
      </c>
      <c r="I8" s="110">
        <v>882</v>
      </c>
      <c r="J8" s="109">
        <v>833</v>
      </c>
      <c r="K8" s="107">
        <f aca="true" t="shared" si="5" ref="K8:K17">L8+M8</f>
        <v>974</v>
      </c>
      <c r="L8" s="110">
        <v>494</v>
      </c>
      <c r="M8" s="111">
        <v>480</v>
      </c>
      <c r="N8" s="107">
        <f aca="true" t="shared" si="6" ref="N8:N15">H8-K8</f>
        <v>741</v>
      </c>
      <c r="O8" s="110">
        <f aca="true" t="shared" si="7" ref="O8:O15">I8-L8</f>
        <v>388</v>
      </c>
      <c r="P8" s="111">
        <f aca="true" t="shared" si="8" ref="P8:P15">J8-M8</f>
        <v>353</v>
      </c>
      <c r="Q8" s="109"/>
      <c r="R8" s="101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</row>
    <row r="9" spans="1:43" s="103" customFormat="1" ht="18.75" customHeight="1">
      <c r="A9" s="106" t="s">
        <v>59</v>
      </c>
      <c r="B9" s="107">
        <f t="shared" si="0"/>
        <v>13671</v>
      </c>
      <c r="C9" s="110">
        <f t="shared" si="1"/>
        <v>6948</v>
      </c>
      <c r="D9" s="109">
        <f t="shared" si="2"/>
        <v>6723</v>
      </c>
      <c r="E9" s="107">
        <f t="shared" si="3"/>
        <v>11527</v>
      </c>
      <c r="F9" s="110">
        <v>5825</v>
      </c>
      <c r="G9" s="109">
        <v>5702</v>
      </c>
      <c r="H9" s="107">
        <f t="shared" si="4"/>
        <v>2144</v>
      </c>
      <c r="I9" s="110">
        <v>1123</v>
      </c>
      <c r="J9" s="109">
        <v>1021</v>
      </c>
      <c r="K9" s="107">
        <f t="shared" si="5"/>
        <v>1941</v>
      </c>
      <c r="L9" s="110">
        <v>1009</v>
      </c>
      <c r="M9" s="111">
        <v>932</v>
      </c>
      <c r="N9" s="107">
        <f t="shared" si="6"/>
        <v>203</v>
      </c>
      <c r="O9" s="110">
        <f t="shared" si="7"/>
        <v>114</v>
      </c>
      <c r="P9" s="111">
        <f t="shared" si="8"/>
        <v>89</v>
      </c>
      <c r="Q9" s="109"/>
      <c r="R9" s="101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</row>
    <row r="10" spans="1:43" s="103" customFormat="1" ht="18.75" customHeight="1">
      <c r="A10" s="106" t="s">
        <v>60</v>
      </c>
      <c r="B10" s="107">
        <f t="shared" si="0"/>
        <v>10335</v>
      </c>
      <c r="C10" s="110">
        <f t="shared" si="1"/>
        <v>5143</v>
      </c>
      <c r="D10" s="109">
        <f t="shared" si="2"/>
        <v>5192</v>
      </c>
      <c r="E10" s="107">
        <f t="shared" si="3"/>
        <v>8504</v>
      </c>
      <c r="F10" s="110">
        <v>4225</v>
      </c>
      <c r="G10" s="109">
        <v>4279</v>
      </c>
      <c r="H10" s="107">
        <f t="shared" si="4"/>
        <v>1831</v>
      </c>
      <c r="I10" s="110">
        <v>918</v>
      </c>
      <c r="J10" s="109">
        <v>913</v>
      </c>
      <c r="K10" s="107">
        <f t="shared" si="5"/>
        <v>1831</v>
      </c>
      <c r="L10" s="110">
        <v>918</v>
      </c>
      <c r="M10" s="111">
        <v>913</v>
      </c>
      <c r="N10" s="1070" t="s">
        <v>36</v>
      </c>
      <c r="O10" s="114" t="s">
        <v>36</v>
      </c>
      <c r="P10" s="1071" t="s">
        <v>36</v>
      </c>
      <c r="Q10" s="1286"/>
      <c r="R10" s="101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</row>
    <row r="11" spans="1:43" s="103" customFormat="1" ht="18.75" customHeight="1">
      <c r="A11" s="106" t="s">
        <v>61</v>
      </c>
      <c r="B11" s="107">
        <f t="shared" si="0"/>
        <v>6134</v>
      </c>
      <c r="C11" s="110">
        <f t="shared" si="1"/>
        <v>3188</v>
      </c>
      <c r="D11" s="109">
        <f t="shared" si="2"/>
        <v>2946</v>
      </c>
      <c r="E11" s="107">
        <f t="shared" si="3"/>
        <v>5328</v>
      </c>
      <c r="F11" s="110">
        <v>2786</v>
      </c>
      <c r="G11" s="109">
        <v>2542</v>
      </c>
      <c r="H11" s="107">
        <f t="shared" si="4"/>
        <v>806</v>
      </c>
      <c r="I11" s="110">
        <v>402</v>
      </c>
      <c r="J11" s="109">
        <v>404</v>
      </c>
      <c r="K11" s="107">
        <f t="shared" si="5"/>
        <v>806</v>
      </c>
      <c r="L11" s="110">
        <v>402</v>
      </c>
      <c r="M11" s="111">
        <v>404</v>
      </c>
      <c r="N11" s="1070" t="s">
        <v>36</v>
      </c>
      <c r="O11" s="114" t="s">
        <v>36</v>
      </c>
      <c r="P11" s="1071" t="s">
        <v>36</v>
      </c>
      <c r="Q11" s="1286"/>
      <c r="R11" s="101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</row>
    <row r="12" spans="1:43" s="103" customFormat="1" ht="18.75" customHeight="1">
      <c r="A12" s="106" t="s">
        <v>62</v>
      </c>
      <c r="B12" s="107">
        <f t="shared" si="0"/>
        <v>32428</v>
      </c>
      <c r="C12" s="110">
        <f t="shared" si="1"/>
        <v>16466</v>
      </c>
      <c r="D12" s="109">
        <f t="shared" si="2"/>
        <v>15962</v>
      </c>
      <c r="E12" s="107">
        <f t="shared" si="3"/>
        <v>19008</v>
      </c>
      <c r="F12" s="110">
        <v>9711</v>
      </c>
      <c r="G12" s="109">
        <v>9297</v>
      </c>
      <c r="H12" s="107">
        <f t="shared" si="4"/>
        <v>13420</v>
      </c>
      <c r="I12" s="110">
        <v>6755</v>
      </c>
      <c r="J12" s="109">
        <v>6665</v>
      </c>
      <c r="K12" s="107">
        <f t="shared" si="5"/>
        <v>9207</v>
      </c>
      <c r="L12" s="110">
        <v>4644</v>
      </c>
      <c r="M12" s="111">
        <v>4563</v>
      </c>
      <c r="N12" s="107">
        <f t="shared" si="6"/>
        <v>4213</v>
      </c>
      <c r="O12" s="110">
        <f t="shared" si="7"/>
        <v>2111</v>
      </c>
      <c r="P12" s="111">
        <f t="shared" si="8"/>
        <v>2102</v>
      </c>
      <c r="Q12" s="109"/>
      <c r="R12" s="101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</row>
    <row r="13" spans="1:43" s="103" customFormat="1" ht="18.75" customHeight="1">
      <c r="A13" s="106" t="s">
        <v>63</v>
      </c>
      <c r="B13" s="107">
        <f t="shared" si="0"/>
        <v>7679</v>
      </c>
      <c r="C13" s="110">
        <f t="shared" si="1"/>
        <v>3881</v>
      </c>
      <c r="D13" s="109">
        <f t="shared" si="2"/>
        <v>3798</v>
      </c>
      <c r="E13" s="107">
        <f t="shared" si="3"/>
        <v>5740</v>
      </c>
      <c r="F13" s="110">
        <v>2935</v>
      </c>
      <c r="G13" s="109">
        <v>2805</v>
      </c>
      <c r="H13" s="107">
        <f t="shared" si="4"/>
        <v>1939</v>
      </c>
      <c r="I13" s="110">
        <v>946</v>
      </c>
      <c r="J13" s="109">
        <v>993</v>
      </c>
      <c r="K13" s="107">
        <f t="shared" si="5"/>
        <v>1054</v>
      </c>
      <c r="L13" s="110">
        <v>496</v>
      </c>
      <c r="M13" s="111">
        <v>558</v>
      </c>
      <c r="N13" s="107">
        <f t="shared" si="6"/>
        <v>885</v>
      </c>
      <c r="O13" s="110">
        <f t="shared" si="7"/>
        <v>450</v>
      </c>
      <c r="P13" s="111">
        <f t="shared" si="8"/>
        <v>435</v>
      </c>
      <c r="Q13" s="109"/>
      <c r="R13" s="101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</row>
    <row r="14" spans="1:43" s="103" customFormat="1" ht="18.75" customHeight="1">
      <c r="A14" s="106" t="s">
        <v>64</v>
      </c>
      <c r="B14" s="107">
        <f t="shared" si="0"/>
        <v>4718</v>
      </c>
      <c r="C14" s="110">
        <f t="shared" si="1"/>
        <v>2353</v>
      </c>
      <c r="D14" s="109">
        <f t="shared" si="2"/>
        <v>2365</v>
      </c>
      <c r="E14" s="107">
        <f t="shared" si="3"/>
        <v>3770</v>
      </c>
      <c r="F14" s="110">
        <v>1888</v>
      </c>
      <c r="G14" s="109">
        <v>1882</v>
      </c>
      <c r="H14" s="120">
        <f t="shared" si="4"/>
        <v>948</v>
      </c>
      <c r="I14" s="110">
        <v>465</v>
      </c>
      <c r="J14" s="109">
        <v>483</v>
      </c>
      <c r="K14" s="107">
        <f t="shared" si="5"/>
        <v>701</v>
      </c>
      <c r="L14" s="110">
        <v>335</v>
      </c>
      <c r="M14" s="111">
        <v>366</v>
      </c>
      <c r="N14" s="120">
        <f t="shared" si="6"/>
        <v>247</v>
      </c>
      <c r="O14" s="121">
        <f t="shared" si="7"/>
        <v>130</v>
      </c>
      <c r="P14" s="124">
        <f t="shared" si="8"/>
        <v>117</v>
      </c>
      <c r="Q14" s="109"/>
      <c r="R14" s="101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</row>
    <row r="15" spans="1:43" s="103" customFormat="1" ht="20.25" customHeight="1">
      <c r="A15" s="116" t="s">
        <v>65</v>
      </c>
      <c r="B15" s="117">
        <f>E15+K15+N15</f>
        <v>112244</v>
      </c>
      <c r="C15" s="108">
        <f>F15+L15+O15</f>
        <v>57032</v>
      </c>
      <c r="D15" s="118">
        <f>G15+M15+P15</f>
        <v>55212</v>
      </c>
      <c r="E15" s="117">
        <f t="shared" si="3"/>
        <v>82242</v>
      </c>
      <c r="F15" s="108">
        <f>SUM(F6:F14)</f>
        <v>41866</v>
      </c>
      <c r="G15" s="118">
        <f>SUM(G6:G14)</f>
        <v>40376</v>
      </c>
      <c r="H15" s="107">
        <f t="shared" si="4"/>
        <v>30002</v>
      </c>
      <c r="I15" s="108">
        <f>SUM(I6:I14)</f>
        <v>15166</v>
      </c>
      <c r="J15" s="119">
        <f>SUM(J6:J14)</f>
        <v>14836</v>
      </c>
      <c r="K15" s="117">
        <f t="shared" si="5"/>
        <v>21773</v>
      </c>
      <c r="L15" s="108">
        <f>SUM(L6:L14)</f>
        <v>10945</v>
      </c>
      <c r="M15" s="119">
        <f>SUM(M6:M14)</f>
        <v>10828</v>
      </c>
      <c r="N15" s="107">
        <f t="shared" si="6"/>
        <v>8229</v>
      </c>
      <c r="O15" s="110">
        <f t="shared" si="7"/>
        <v>4221</v>
      </c>
      <c r="P15" s="111">
        <f t="shared" si="8"/>
        <v>4008</v>
      </c>
      <c r="Q15" s="109"/>
      <c r="R15" s="101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</row>
    <row r="16" spans="1:43" s="103" customFormat="1" ht="20.25" customHeight="1">
      <c r="A16" s="106" t="s">
        <v>66</v>
      </c>
      <c r="B16" s="120">
        <f>SUM(E16,K16,N16)</f>
        <v>5183</v>
      </c>
      <c r="C16" s="121">
        <f>SUM(F16,L16,O16)</f>
        <v>2641</v>
      </c>
      <c r="D16" s="122">
        <f>SUM(G16,M16,P16)</f>
        <v>2542</v>
      </c>
      <c r="E16" s="120">
        <f t="shared" si="3"/>
        <v>3063</v>
      </c>
      <c r="F16" s="121">
        <v>1575</v>
      </c>
      <c r="G16" s="122">
        <v>1488</v>
      </c>
      <c r="H16" s="120">
        <f t="shared" si="4"/>
        <v>2120</v>
      </c>
      <c r="I16" s="121">
        <v>1066</v>
      </c>
      <c r="J16" s="122">
        <v>1054</v>
      </c>
      <c r="K16" s="120">
        <f t="shared" si="5"/>
        <v>2120</v>
      </c>
      <c r="L16" s="121">
        <v>1066</v>
      </c>
      <c r="M16" s="124">
        <v>1054</v>
      </c>
      <c r="N16" s="1070" t="s">
        <v>36</v>
      </c>
      <c r="O16" s="114" t="s">
        <v>36</v>
      </c>
      <c r="P16" s="1071" t="s">
        <v>36</v>
      </c>
      <c r="Q16" s="1286"/>
      <c r="R16" s="101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</row>
    <row r="17" spans="1:43" s="103" customFormat="1" ht="20.25" customHeight="1">
      <c r="A17" s="125" t="s">
        <v>67</v>
      </c>
      <c r="B17" s="126">
        <f>E17+K17+N17</f>
        <v>117427</v>
      </c>
      <c r="C17" s="127">
        <f>F17+L17+O17</f>
        <v>59673</v>
      </c>
      <c r="D17" s="128">
        <f>G17+M17+P17</f>
        <v>57754</v>
      </c>
      <c r="E17" s="126">
        <f t="shared" si="3"/>
        <v>85305</v>
      </c>
      <c r="F17" s="127">
        <f>F15+F16</f>
        <v>43441</v>
      </c>
      <c r="G17" s="129">
        <f>G15+G16</f>
        <v>41864</v>
      </c>
      <c r="H17" s="126">
        <f t="shared" si="4"/>
        <v>32122</v>
      </c>
      <c r="I17" s="127">
        <f>I15+I16</f>
        <v>16232</v>
      </c>
      <c r="J17" s="128">
        <f>J15+J16</f>
        <v>15890</v>
      </c>
      <c r="K17" s="126">
        <f t="shared" si="5"/>
        <v>23893</v>
      </c>
      <c r="L17" s="127">
        <f>L15+L16</f>
        <v>12011</v>
      </c>
      <c r="M17" s="128">
        <f>M15+M16</f>
        <v>11882</v>
      </c>
      <c r="N17" s="126">
        <f>O17+P17</f>
        <v>8229</v>
      </c>
      <c r="O17" s="127">
        <f>SUM(O15:O16)</f>
        <v>4221</v>
      </c>
      <c r="P17" s="128">
        <f>SUM(P15:P16)</f>
        <v>4008</v>
      </c>
      <c r="Q17" s="109"/>
      <c r="R17" s="101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</row>
    <row r="18" spans="2:43" s="103" customFormat="1" ht="15" customHeight="1">
      <c r="B18" s="97"/>
      <c r="C18" s="97"/>
      <c r="D18" s="97"/>
      <c r="E18" s="118"/>
      <c r="F18" s="118"/>
      <c r="G18" s="118"/>
      <c r="H18" s="118"/>
      <c r="I18" s="118"/>
      <c r="J18" s="118"/>
      <c r="K18" s="118"/>
      <c r="L18" s="118"/>
      <c r="M18" s="118"/>
      <c r="N18" s="130"/>
      <c r="O18" s="130"/>
      <c r="P18" s="130"/>
      <c r="Q18" s="130"/>
      <c r="R18" s="101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</row>
    <row r="19" spans="1:43" s="92" customFormat="1" ht="21" customHeight="1">
      <c r="A19" s="1169" t="s">
        <v>396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N19" s="94"/>
      <c r="O19" s="94"/>
      <c r="P19" s="94"/>
      <c r="Q19" s="94"/>
      <c r="R19" s="101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</row>
    <row r="20" spans="2:43" s="103" customFormat="1" ht="8.25" customHeight="1">
      <c r="B20" s="97"/>
      <c r="C20" s="97"/>
      <c r="D20" s="97"/>
      <c r="E20" s="122"/>
      <c r="F20" s="109"/>
      <c r="G20" s="109"/>
      <c r="H20" s="109"/>
      <c r="I20" s="109"/>
      <c r="J20" s="109"/>
      <c r="K20" s="109"/>
      <c r="L20" s="109"/>
      <c r="M20" s="109"/>
      <c r="N20" s="130"/>
      <c r="O20" s="130"/>
      <c r="P20" s="130"/>
      <c r="Q20" s="130"/>
      <c r="R20" s="101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</row>
    <row r="21" spans="1:43" s="103" customFormat="1" ht="14.25" customHeight="1">
      <c r="A21" s="1431" t="s">
        <v>31</v>
      </c>
      <c r="B21" s="1434" t="s">
        <v>74</v>
      </c>
      <c r="C21" s="1435"/>
      <c r="D21" s="1436"/>
      <c r="E21" s="1422" t="s">
        <v>75</v>
      </c>
      <c r="F21" s="1423"/>
      <c r="G21" s="1423"/>
      <c r="H21" s="1064"/>
      <c r="I21" s="1202" t="s">
        <v>323</v>
      </c>
      <c r="J21" s="1065"/>
      <c r="K21" s="1440" t="s">
        <v>78</v>
      </c>
      <c r="L21" s="1441"/>
      <c r="M21" s="1441"/>
      <c r="N21" s="1441"/>
      <c r="O21" s="1441"/>
      <c r="P21" s="1442"/>
      <c r="Q21" s="1287"/>
      <c r="R21" s="101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</row>
    <row r="22" spans="1:43" s="103" customFormat="1" ht="15.75" customHeight="1">
      <c r="A22" s="1432"/>
      <c r="B22" s="1437"/>
      <c r="C22" s="1438"/>
      <c r="D22" s="1439"/>
      <c r="E22" s="1425"/>
      <c r="F22" s="1426"/>
      <c r="G22" s="1426"/>
      <c r="H22" s="1066"/>
      <c r="I22" s="1067"/>
      <c r="J22" s="1067"/>
      <c r="K22" s="1428" t="s">
        <v>80</v>
      </c>
      <c r="L22" s="1429"/>
      <c r="M22" s="1430"/>
      <c r="N22" s="1428" t="s">
        <v>77</v>
      </c>
      <c r="O22" s="1429"/>
      <c r="P22" s="1430"/>
      <c r="Q22" s="1285"/>
      <c r="R22" s="101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</row>
    <row r="23" spans="1:43" s="103" customFormat="1" ht="14.25" customHeight="1">
      <c r="A23" s="1433"/>
      <c r="B23" s="131" t="s">
        <v>5</v>
      </c>
      <c r="C23" s="133" t="s">
        <v>39</v>
      </c>
      <c r="D23" s="134" t="s">
        <v>40</v>
      </c>
      <c r="E23" s="131" t="s">
        <v>5</v>
      </c>
      <c r="F23" s="133" t="s">
        <v>39</v>
      </c>
      <c r="G23" s="1068" t="s">
        <v>40</v>
      </c>
      <c r="H23" s="99" t="s">
        <v>5</v>
      </c>
      <c r="I23" s="104" t="s">
        <v>39</v>
      </c>
      <c r="J23" s="100" t="s">
        <v>40</v>
      </c>
      <c r="K23" s="131" t="s">
        <v>5</v>
      </c>
      <c r="L23" s="133" t="s">
        <v>39</v>
      </c>
      <c r="M23" s="132" t="s">
        <v>40</v>
      </c>
      <c r="N23" s="131" t="s">
        <v>5</v>
      </c>
      <c r="O23" s="133" t="s">
        <v>39</v>
      </c>
      <c r="P23" s="134" t="s">
        <v>40</v>
      </c>
      <c r="Q23" s="1287"/>
      <c r="R23" s="101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</row>
    <row r="24" spans="1:43" s="103" customFormat="1" ht="19.5" customHeight="1">
      <c r="A24" s="106" t="s">
        <v>32</v>
      </c>
      <c r="B24" s="107">
        <f aca="true" t="shared" si="9" ref="B24:D29">SUM(E24,K24,N24)</f>
        <v>38097</v>
      </c>
      <c r="C24" s="110">
        <f t="shared" si="9"/>
        <v>19466</v>
      </c>
      <c r="D24" s="109">
        <f t="shared" si="9"/>
        <v>18631</v>
      </c>
      <c r="E24" s="107">
        <f aca="true" t="shared" si="10" ref="E24:E29">F24+G24</f>
        <v>29183</v>
      </c>
      <c r="F24" s="110">
        <v>14909</v>
      </c>
      <c r="G24" s="109">
        <v>14274</v>
      </c>
      <c r="H24" s="107">
        <f aca="true" t="shared" si="11" ref="H24:H29">SUM(I24:J24)</f>
        <v>8914</v>
      </c>
      <c r="I24" s="110">
        <v>4557</v>
      </c>
      <c r="J24" s="109">
        <v>4357</v>
      </c>
      <c r="K24" s="107">
        <f aca="true" t="shared" si="12" ref="K24:K29">L24+M24</f>
        <v>6233</v>
      </c>
      <c r="L24" s="110">
        <v>3141</v>
      </c>
      <c r="M24" s="111">
        <v>3092</v>
      </c>
      <c r="N24" s="107">
        <f aca="true" t="shared" si="13" ref="N24:N29">O24+P24</f>
        <v>2681</v>
      </c>
      <c r="O24" s="110">
        <f aca="true" t="shared" si="14" ref="O24:P27">I24-L24</f>
        <v>1416</v>
      </c>
      <c r="P24" s="112">
        <f t="shared" si="14"/>
        <v>1265</v>
      </c>
      <c r="Q24" s="109"/>
      <c r="R24" s="101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</row>
    <row r="25" spans="1:43" s="103" customFormat="1" ht="19.5" customHeight="1">
      <c r="A25" s="106" t="s">
        <v>33</v>
      </c>
      <c r="B25" s="107">
        <f t="shared" si="9"/>
        <v>28551</v>
      </c>
      <c r="C25" s="110">
        <f t="shared" si="9"/>
        <v>14532</v>
      </c>
      <c r="D25" s="109">
        <f t="shared" si="9"/>
        <v>14019</v>
      </c>
      <c r="E25" s="107">
        <f t="shared" si="10"/>
        <v>20570</v>
      </c>
      <c r="F25" s="110">
        <v>10477</v>
      </c>
      <c r="G25" s="109">
        <v>10093</v>
      </c>
      <c r="H25" s="107">
        <f t="shared" si="11"/>
        <v>7981</v>
      </c>
      <c r="I25" s="110">
        <v>4055</v>
      </c>
      <c r="J25" s="109">
        <v>3926</v>
      </c>
      <c r="K25" s="107">
        <f t="shared" si="12"/>
        <v>6636</v>
      </c>
      <c r="L25" s="110">
        <v>3336</v>
      </c>
      <c r="M25" s="111">
        <v>3300</v>
      </c>
      <c r="N25" s="107">
        <f t="shared" si="13"/>
        <v>1345</v>
      </c>
      <c r="O25" s="110">
        <f t="shared" si="14"/>
        <v>719</v>
      </c>
      <c r="P25" s="112">
        <f t="shared" si="14"/>
        <v>626</v>
      </c>
      <c r="Q25" s="109"/>
      <c r="R25" s="101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</row>
    <row r="26" spans="1:43" s="103" customFormat="1" ht="19.5" customHeight="1">
      <c r="A26" s="106" t="s">
        <v>34</v>
      </c>
      <c r="B26" s="107">
        <f t="shared" si="9"/>
        <v>24689</v>
      </c>
      <c r="C26" s="110">
        <f t="shared" si="9"/>
        <v>12478</v>
      </c>
      <c r="D26" s="109">
        <f t="shared" si="9"/>
        <v>12211</v>
      </c>
      <c r="E26" s="107">
        <f t="shared" si="10"/>
        <v>17413</v>
      </c>
      <c r="F26" s="110">
        <v>8843</v>
      </c>
      <c r="G26" s="109">
        <v>8570</v>
      </c>
      <c r="H26" s="107">
        <f t="shared" si="11"/>
        <v>7276</v>
      </c>
      <c r="I26" s="110">
        <v>3635</v>
      </c>
      <c r="J26" s="109">
        <v>3641</v>
      </c>
      <c r="K26" s="107">
        <f t="shared" si="12"/>
        <v>5123</v>
      </c>
      <c r="L26" s="110">
        <v>2554</v>
      </c>
      <c r="M26" s="111">
        <v>2569</v>
      </c>
      <c r="N26" s="107">
        <f t="shared" si="13"/>
        <v>2153</v>
      </c>
      <c r="O26" s="110">
        <f t="shared" si="14"/>
        <v>1081</v>
      </c>
      <c r="P26" s="112">
        <f t="shared" si="14"/>
        <v>1072</v>
      </c>
      <c r="Q26" s="109"/>
      <c r="R26" s="101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</row>
    <row r="27" spans="1:43" s="103" customFormat="1" ht="28.5" customHeight="1">
      <c r="A27" s="1100" t="s">
        <v>47</v>
      </c>
      <c r="B27" s="107">
        <f t="shared" si="9"/>
        <v>20907</v>
      </c>
      <c r="C27" s="110">
        <f t="shared" si="9"/>
        <v>10556</v>
      </c>
      <c r="D27" s="109">
        <f t="shared" si="9"/>
        <v>10351</v>
      </c>
      <c r="E27" s="107">
        <f t="shared" si="10"/>
        <v>15076</v>
      </c>
      <c r="F27" s="110">
        <v>7637</v>
      </c>
      <c r="G27" s="109">
        <v>7439</v>
      </c>
      <c r="H27" s="107">
        <f t="shared" si="11"/>
        <v>5831</v>
      </c>
      <c r="I27" s="110">
        <v>2919</v>
      </c>
      <c r="J27" s="109">
        <v>2912</v>
      </c>
      <c r="K27" s="107">
        <f t="shared" si="12"/>
        <v>3781</v>
      </c>
      <c r="L27" s="110">
        <v>1914</v>
      </c>
      <c r="M27" s="111">
        <v>1867</v>
      </c>
      <c r="N27" s="107">
        <f t="shared" si="13"/>
        <v>2050</v>
      </c>
      <c r="O27" s="110">
        <f t="shared" si="14"/>
        <v>1005</v>
      </c>
      <c r="P27" s="112">
        <f t="shared" si="14"/>
        <v>1045</v>
      </c>
      <c r="Q27" s="109"/>
      <c r="R27" s="101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</row>
    <row r="28" spans="1:43" s="103" customFormat="1" ht="19.5" customHeight="1">
      <c r="A28" s="1199" t="s">
        <v>430</v>
      </c>
      <c r="B28" s="107">
        <f t="shared" si="9"/>
        <v>5183</v>
      </c>
      <c r="C28" s="110">
        <f t="shared" si="9"/>
        <v>2641</v>
      </c>
      <c r="D28" s="109">
        <f t="shared" si="9"/>
        <v>2542</v>
      </c>
      <c r="E28" s="123">
        <f t="shared" si="10"/>
        <v>3063</v>
      </c>
      <c r="F28" s="110">
        <v>1575</v>
      </c>
      <c r="G28" s="109">
        <v>1488</v>
      </c>
      <c r="H28" s="120">
        <f t="shared" si="11"/>
        <v>2120</v>
      </c>
      <c r="I28" s="110">
        <v>1066</v>
      </c>
      <c r="J28" s="109">
        <v>1054</v>
      </c>
      <c r="K28" s="107">
        <f t="shared" si="12"/>
        <v>2120</v>
      </c>
      <c r="L28" s="110">
        <v>1066</v>
      </c>
      <c r="M28" s="111">
        <v>1054</v>
      </c>
      <c r="N28" s="113" t="s">
        <v>36</v>
      </c>
      <c r="O28" s="114" t="s">
        <v>36</v>
      </c>
      <c r="P28" s="1072" t="s">
        <v>36</v>
      </c>
      <c r="Q28" s="1286"/>
      <c r="R28" s="101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</row>
    <row r="29" spans="1:43" s="103" customFormat="1" ht="19.5" customHeight="1">
      <c r="A29" s="125" t="s">
        <v>48</v>
      </c>
      <c r="B29" s="126">
        <f t="shared" si="9"/>
        <v>117427</v>
      </c>
      <c r="C29" s="127">
        <f t="shared" si="9"/>
        <v>59673</v>
      </c>
      <c r="D29" s="129">
        <f t="shared" si="9"/>
        <v>57754</v>
      </c>
      <c r="E29" s="126">
        <f t="shared" si="10"/>
        <v>85305</v>
      </c>
      <c r="F29" s="127">
        <f>SUM(F24:F28)</f>
        <v>43441</v>
      </c>
      <c r="G29" s="129">
        <f>SUM(G24:G28)</f>
        <v>41864</v>
      </c>
      <c r="H29" s="126">
        <f t="shared" si="11"/>
        <v>32122</v>
      </c>
      <c r="I29" s="127">
        <f>SUM(I24:I28)</f>
        <v>16232</v>
      </c>
      <c r="J29" s="128">
        <f>SUM(J24:J28)</f>
        <v>15890</v>
      </c>
      <c r="K29" s="126">
        <f t="shared" si="12"/>
        <v>23893</v>
      </c>
      <c r="L29" s="127">
        <f>SUM(L24:L28)</f>
        <v>12011</v>
      </c>
      <c r="M29" s="128">
        <f>SUM(M24:M28)</f>
        <v>11882</v>
      </c>
      <c r="N29" s="126">
        <f t="shared" si="13"/>
        <v>8229</v>
      </c>
      <c r="O29" s="127">
        <f>SUM(O24:O28)</f>
        <v>4221</v>
      </c>
      <c r="P29" s="128">
        <f>SUM(P24:P28)</f>
        <v>4008</v>
      </c>
      <c r="Q29" s="109"/>
      <c r="R29" s="101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</row>
    <row r="30" ht="5.25" customHeight="1">
      <c r="A30" s="135"/>
    </row>
    <row r="31" spans="1:18" s="136" customFormat="1" ht="18" customHeight="1">
      <c r="A31" s="136" t="s">
        <v>79</v>
      </c>
      <c r="R31" s="98"/>
    </row>
    <row r="32" spans="1:18" s="140" customFormat="1" ht="12.75" customHeight="1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9"/>
      <c r="R32" s="98"/>
    </row>
  </sheetData>
  <sheetProtection/>
  <mergeCells count="12">
    <mergeCell ref="A21:A23"/>
    <mergeCell ref="B21:D22"/>
    <mergeCell ref="E21:G22"/>
    <mergeCell ref="K21:P21"/>
    <mergeCell ref="K22:M22"/>
    <mergeCell ref="N22:P22"/>
    <mergeCell ref="A3:A5"/>
    <mergeCell ref="B3:D4"/>
    <mergeCell ref="E3:G4"/>
    <mergeCell ref="K3:P3"/>
    <mergeCell ref="K4:M4"/>
    <mergeCell ref="N4:P4"/>
  </mergeCells>
  <printOptions/>
  <pageMargins left="0.2" right="0.2" top="0.84" bottom="0.1" header="0.5" footer="0.25"/>
  <pageSetup horizontalDpi="300" verticalDpi="300" orientation="landscape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pane xSplit="1" ySplit="4" topLeftCell="B5" activePane="bottomRight" state="frozen"/>
      <selection pane="topLeft" activeCell="B12" sqref="B12:H12"/>
      <selection pane="topRight" activeCell="B12" sqref="B12:H12"/>
      <selection pane="bottomLeft" activeCell="B12" sqref="B12:H12"/>
      <selection pane="bottomRight" activeCell="K6" sqref="K6"/>
    </sheetView>
  </sheetViews>
  <sheetFormatPr defaultColWidth="8.8515625" defaultRowHeight="12.75"/>
  <cols>
    <col min="1" max="1" width="30.00390625" style="142" customWidth="1"/>
    <col min="2" max="7" width="7.00390625" style="142" customWidth="1"/>
    <col min="8" max="8" width="10.140625" style="1274" customWidth="1"/>
    <col min="9" max="9" width="8.140625" style="142" customWidth="1"/>
    <col min="10" max="10" width="4.8515625" style="142" customWidth="1"/>
    <col min="11" max="16384" width="8.8515625" style="142" customWidth="1"/>
  </cols>
  <sheetData>
    <row r="1" ht="21.75" customHeight="1">
      <c r="A1" s="141" t="s">
        <v>397</v>
      </c>
    </row>
    <row r="2" spans="1:9" ht="16.5" customHeight="1">
      <c r="A2" s="143"/>
      <c r="B2" s="144"/>
      <c r="C2" s="144"/>
      <c r="D2" s="144"/>
      <c r="E2" s="144"/>
      <c r="F2" s="144"/>
      <c r="G2" s="144"/>
      <c r="H2" s="1271"/>
      <c r="I2" s="144"/>
    </row>
    <row r="3" spans="1:9" s="148" customFormat="1" ht="18" customHeight="1">
      <c r="A3" s="1443" t="s">
        <v>15</v>
      </c>
      <c r="B3" s="145" t="s">
        <v>81</v>
      </c>
      <c r="C3" s="146"/>
      <c r="D3" s="147"/>
      <c r="E3" s="146"/>
      <c r="F3" s="147"/>
      <c r="G3" s="146"/>
      <c r="H3" s="1272"/>
      <c r="I3" s="1445" t="s">
        <v>82</v>
      </c>
    </row>
    <row r="4" spans="1:9" s="148" customFormat="1" ht="45" customHeight="1">
      <c r="A4" s="1444"/>
      <c r="B4" s="149" t="s">
        <v>83</v>
      </c>
      <c r="C4" s="149" t="s">
        <v>84</v>
      </c>
      <c r="D4" s="149" t="s">
        <v>85</v>
      </c>
      <c r="E4" s="149" t="s">
        <v>86</v>
      </c>
      <c r="F4" s="149" t="s">
        <v>87</v>
      </c>
      <c r="G4" s="149" t="s">
        <v>88</v>
      </c>
      <c r="H4" s="150" t="s">
        <v>89</v>
      </c>
      <c r="I4" s="1446"/>
    </row>
    <row r="5" spans="1:9" s="148" customFormat="1" ht="30.75" customHeight="1">
      <c r="A5" s="151" t="s">
        <v>55</v>
      </c>
      <c r="B5" s="152">
        <v>2545</v>
      </c>
      <c r="C5" s="152">
        <v>2532</v>
      </c>
      <c r="D5" s="152">
        <v>2654</v>
      </c>
      <c r="E5" s="152">
        <v>2545</v>
      </c>
      <c r="F5" s="152">
        <v>2709</v>
      </c>
      <c r="G5" s="152">
        <v>2596</v>
      </c>
      <c r="H5" s="1275">
        <v>696</v>
      </c>
      <c r="I5" s="153">
        <f aca="true" t="shared" si="0" ref="I5:I16">SUM(B5:H5)</f>
        <v>16277</v>
      </c>
    </row>
    <row r="6" spans="1:9" s="148" customFormat="1" ht="30.75" customHeight="1">
      <c r="A6" s="154" t="s">
        <v>56</v>
      </c>
      <c r="B6" s="155">
        <v>1692</v>
      </c>
      <c r="C6" s="155">
        <v>1630</v>
      </c>
      <c r="D6" s="155">
        <v>1734</v>
      </c>
      <c r="E6" s="155">
        <v>1708</v>
      </c>
      <c r="F6" s="155">
        <v>1687</v>
      </c>
      <c r="G6" s="155">
        <v>1693</v>
      </c>
      <c r="H6" s="1276">
        <v>529</v>
      </c>
      <c r="I6" s="156">
        <f t="shared" si="0"/>
        <v>10673</v>
      </c>
    </row>
    <row r="7" spans="1:9" s="148" customFormat="1" ht="30.75" customHeight="1">
      <c r="A7" s="154" t="s">
        <v>58</v>
      </c>
      <c r="B7" s="155">
        <v>1518</v>
      </c>
      <c r="C7" s="155">
        <v>1665</v>
      </c>
      <c r="D7" s="155">
        <v>1653</v>
      </c>
      <c r="E7" s="155">
        <v>1712</v>
      </c>
      <c r="F7" s="155">
        <v>1679</v>
      </c>
      <c r="G7" s="155">
        <v>1773</v>
      </c>
      <c r="H7" s="1276">
        <v>329</v>
      </c>
      <c r="I7" s="156">
        <f t="shared" si="0"/>
        <v>10329</v>
      </c>
    </row>
    <row r="8" spans="1:9" s="148" customFormat="1" ht="30.75" customHeight="1">
      <c r="A8" s="154" t="s">
        <v>59</v>
      </c>
      <c r="B8" s="155">
        <v>2057</v>
      </c>
      <c r="C8" s="155">
        <v>2115</v>
      </c>
      <c r="D8" s="155">
        <v>2189</v>
      </c>
      <c r="E8" s="155">
        <v>2258</v>
      </c>
      <c r="F8" s="155">
        <v>2332</v>
      </c>
      <c r="G8" s="155">
        <v>2300</v>
      </c>
      <c r="H8" s="1276">
        <v>420</v>
      </c>
      <c r="I8" s="156">
        <f t="shared" si="0"/>
        <v>13671</v>
      </c>
    </row>
    <row r="9" spans="1:9" s="148" customFormat="1" ht="30.75" customHeight="1">
      <c r="A9" s="154" t="s">
        <v>60</v>
      </c>
      <c r="B9" s="155">
        <v>1559</v>
      </c>
      <c r="C9" s="155">
        <v>1611</v>
      </c>
      <c r="D9" s="155">
        <v>1671</v>
      </c>
      <c r="E9" s="155">
        <v>1642</v>
      </c>
      <c r="F9" s="155">
        <v>1720</v>
      </c>
      <c r="G9" s="155">
        <v>1789</v>
      </c>
      <c r="H9" s="1276">
        <v>343</v>
      </c>
      <c r="I9" s="156">
        <f t="shared" si="0"/>
        <v>10335</v>
      </c>
    </row>
    <row r="10" spans="1:9" s="148" customFormat="1" ht="30.75" customHeight="1">
      <c r="A10" s="154" t="s">
        <v>61</v>
      </c>
      <c r="B10" s="155">
        <v>967</v>
      </c>
      <c r="C10" s="155">
        <v>951</v>
      </c>
      <c r="D10" s="155">
        <v>1029</v>
      </c>
      <c r="E10" s="155">
        <v>976</v>
      </c>
      <c r="F10" s="155">
        <v>976</v>
      </c>
      <c r="G10" s="155">
        <v>995</v>
      </c>
      <c r="H10" s="1276">
        <v>240</v>
      </c>
      <c r="I10" s="156">
        <f t="shared" si="0"/>
        <v>6134</v>
      </c>
    </row>
    <row r="11" spans="1:9" s="148" customFormat="1" ht="30.75" customHeight="1">
      <c r="A11" s="154" t="s">
        <v>62</v>
      </c>
      <c r="B11" s="155">
        <v>5048</v>
      </c>
      <c r="C11" s="155">
        <v>5180</v>
      </c>
      <c r="D11" s="155">
        <v>5368</v>
      </c>
      <c r="E11" s="155">
        <v>5310</v>
      </c>
      <c r="F11" s="155">
        <v>5398</v>
      </c>
      <c r="G11" s="155">
        <v>5314</v>
      </c>
      <c r="H11" s="1276">
        <v>810</v>
      </c>
      <c r="I11" s="156">
        <f t="shared" si="0"/>
        <v>32428</v>
      </c>
    </row>
    <row r="12" spans="1:9" s="148" customFormat="1" ht="30.75" customHeight="1">
      <c r="A12" s="154" t="s">
        <v>63</v>
      </c>
      <c r="B12" s="155">
        <v>1170</v>
      </c>
      <c r="C12" s="155">
        <v>1267</v>
      </c>
      <c r="D12" s="155">
        <v>1265</v>
      </c>
      <c r="E12" s="155">
        <v>1207</v>
      </c>
      <c r="F12" s="155">
        <v>1294</v>
      </c>
      <c r="G12" s="155">
        <v>1258</v>
      </c>
      <c r="H12" s="1276">
        <v>218</v>
      </c>
      <c r="I12" s="156">
        <f t="shared" si="0"/>
        <v>7679</v>
      </c>
    </row>
    <row r="13" spans="1:9" s="148" customFormat="1" ht="30.75" customHeight="1">
      <c r="A13" s="154" t="s">
        <v>64</v>
      </c>
      <c r="B13" s="155">
        <v>875</v>
      </c>
      <c r="C13" s="155">
        <v>753</v>
      </c>
      <c r="D13" s="155">
        <v>772</v>
      </c>
      <c r="E13" s="155">
        <v>718</v>
      </c>
      <c r="F13" s="155">
        <v>667</v>
      </c>
      <c r="G13" s="155">
        <v>644</v>
      </c>
      <c r="H13" s="1276">
        <v>289</v>
      </c>
      <c r="I13" s="156">
        <f t="shared" si="0"/>
        <v>4718</v>
      </c>
    </row>
    <row r="14" spans="1:9" s="148" customFormat="1" ht="30.75" customHeight="1">
      <c r="A14" s="151" t="s">
        <v>65</v>
      </c>
      <c r="B14" s="152">
        <f>SUM(B5:B13)</f>
        <v>17431</v>
      </c>
      <c r="C14" s="152">
        <f aca="true" t="shared" si="1" ref="C14:I14">SUM(C5:C13)</f>
        <v>17704</v>
      </c>
      <c r="D14" s="152">
        <f t="shared" si="1"/>
        <v>18335</v>
      </c>
      <c r="E14" s="152">
        <f t="shared" si="1"/>
        <v>18076</v>
      </c>
      <c r="F14" s="152">
        <f t="shared" si="1"/>
        <v>18462</v>
      </c>
      <c r="G14" s="152">
        <f t="shared" si="1"/>
        <v>18362</v>
      </c>
      <c r="H14" s="1277">
        <f t="shared" si="1"/>
        <v>3874</v>
      </c>
      <c r="I14" s="153">
        <f t="shared" si="1"/>
        <v>112244</v>
      </c>
    </row>
    <row r="15" spans="1:9" s="148" customFormat="1" ht="30.75" customHeight="1">
      <c r="A15" s="154" t="s">
        <v>66</v>
      </c>
      <c r="B15" s="155">
        <v>896</v>
      </c>
      <c r="C15" s="155">
        <v>818</v>
      </c>
      <c r="D15" s="155">
        <v>840</v>
      </c>
      <c r="E15" s="155">
        <v>815</v>
      </c>
      <c r="F15" s="155">
        <v>815</v>
      </c>
      <c r="G15" s="155">
        <v>783</v>
      </c>
      <c r="H15" s="1276">
        <v>216</v>
      </c>
      <c r="I15" s="156">
        <f t="shared" si="0"/>
        <v>5183</v>
      </c>
    </row>
    <row r="16" spans="1:9" s="148" customFormat="1" ht="30.75" customHeight="1">
      <c r="A16" s="157" t="s">
        <v>90</v>
      </c>
      <c r="B16" s="158">
        <f aca="true" t="shared" si="2" ref="B16:H16">SUM(B14:B15)</f>
        <v>18327</v>
      </c>
      <c r="C16" s="158">
        <f t="shared" si="2"/>
        <v>18522</v>
      </c>
      <c r="D16" s="158">
        <f t="shared" si="2"/>
        <v>19175</v>
      </c>
      <c r="E16" s="158">
        <f t="shared" si="2"/>
        <v>18891</v>
      </c>
      <c r="F16" s="158">
        <f t="shared" si="2"/>
        <v>19277</v>
      </c>
      <c r="G16" s="158">
        <f t="shared" si="2"/>
        <v>19145</v>
      </c>
      <c r="H16" s="1278">
        <f t="shared" si="2"/>
        <v>4090</v>
      </c>
      <c r="I16" s="886">
        <f t="shared" si="0"/>
        <v>117427</v>
      </c>
    </row>
    <row r="17" spans="1:9" s="148" customFormat="1" ht="9.75" customHeight="1">
      <c r="A17" s="160"/>
      <c r="B17" s="161"/>
      <c r="C17" s="161"/>
      <c r="D17" s="161"/>
      <c r="E17" s="161"/>
      <c r="F17" s="161"/>
      <c r="G17" s="161"/>
      <c r="H17" s="1279"/>
      <c r="I17" s="161"/>
    </row>
    <row r="18" spans="1:9" s="148" customFormat="1" ht="20.25" customHeight="1">
      <c r="A18" s="162" t="s">
        <v>398</v>
      </c>
      <c r="B18" s="161"/>
      <c r="C18" s="161"/>
      <c r="D18" s="161"/>
      <c r="E18" s="161"/>
      <c r="F18" s="161"/>
      <c r="G18" s="161"/>
      <c r="H18" s="1279"/>
      <c r="I18" s="161"/>
    </row>
    <row r="19" spans="1:18" s="148" customFormat="1" ht="10.5" customHeight="1">
      <c r="A19" s="163"/>
      <c r="B19" s="161"/>
      <c r="C19" s="161"/>
      <c r="D19" s="161"/>
      <c r="E19" s="161"/>
      <c r="F19" s="161"/>
      <c r="G19" s="161"/>
      <c r="H19" s="1279"/>
      <c r="I19" s="161"/>
      <c r="K19" s="142"/>
      <c r="L19" s="142"/>
      <c r="M19" s="142"/>
      <c r="N19" s="142"/>
      <c r="O19" s="142"/>
      <c r="P19" s="142"/>
      <c r="Q19" s="142"/>
      <c r="R19" s="142"/>
    </row>
    <row r="20" spans="1:18" s="148" customFormat="1" ht="18" customHeight="1">
      <c r="A20" s="1443" t="s">
        <v>31</v>
      </c>
      <c r="B20" s="164" t="s">
        <v>81</v>
      </c>
      <c r="C20" s="165"/>
      <c r="D20" s="164"/>
      <c r="E20" s="165"/>
      <c r="F20" s="164"/>
      <c r="G20" s="164"/>
      <c r="H20" s="1273"/>
      <c r="I20" s="1445" t="s">
        <v>82</v>
      </c>
      <c r="K20" s="142"/>
      <c r="L20" s="142"/>
      <c r="M20" s="142"/>
      <c r="N20" s="142"/>
      <c r="O20" s="142"/>
      <c r="P20" s="142"/>
      <c r="Q20" s="142"/>
      <c r="R20" s="142"/>
    </row>
    <row r="21" spans="1:18" s="148" customFormat="1" ht="44.25" customHeight="1">
      <c r="A21" s="1444"/>
      <c r="B21" s="149" t="s">
        <v>83</v>
      </c>
      <c r="C21" s="149" t="s">
        <v>84</v>
      </c>
      <c r="D21" s="149" t="s">
        <v>85</v>
      </c>
      <c r="E21" s="149" t="s">
        <v>86</v>
      </c>
      <c r="F21" s="149" t="s">
        <v>87</v>
      </c>
      <c r="G21" s="147" t="s">
        <v>88</v>
      </c>
      <c r="H21" s="150" t="s">
        <v>89</v>
      </c>
      <c r="I21" s="1446"/>
      <c r="K21" s="142"/>
      <c r="L21" s="142"/>
      <c r="M21" s="142"/>
      <c r="N21" s="142"/>
      <c r="O21" s="142"/>
      <c r="P21" s="142"/>
      <c r="Q21" s="142"/>
      <c r="R21" s="142"/>
    </row>
    <row r="22" spans="1:18" s="148" customFormat="1" ht="31.5" customHeight="1">
      <c r="A22" s="151" t="s">
        <v>247</v>
      </c>
      <c r="B22" s="152">
        <v>5878</v>
      </c>
      <c r="C22" s="152">
        <v>5959</v>
      </c>
      <c r="D22" s="152">
        <v>6173</v>
      </c>
      <c r="E22" s="152">
        <v>6096</v>
      </c>
      <c r="F22" s="152">
        <v>6200</v>
      </c>
      <c r="G22" s="166">
        <v>6179</v>
      </c>
      <c r="H22" s="1275">
        <v>1612</v>
      </c>
      <c r="I22" s="153">
        <f>SUM(B22:H22)</f>
        <v>38097</v>
      </c>
      <c r="K22" s="142"/>
      <c r="L22" s="142"/>
      <c r="M22" s="142"/>
      <c r="N22" s="142"/>
      <c r="O22" s="142"/>
      <c r="P22" s="142"/>
      <c r="Q22" s="142"/>
      <c r="R22" s="142"/>
    </row>
    <row r="23" spans="1:18" s="148" customFormat="1" ht="31.5" customHeight="1">
      <c r="A23" s="154" t="s">
        <v>91</v>
      </c>
      <c r="B23" s="155">
        <v>4349</v>
      </c>
      <c r="C23" s="155">
        <v>4481</v>
      </c>
      <c r="D23" s="155">
        <v>4579</v>
      </c>
      <c r="E23" s="155">
        <v>4597</v>
      </c>
      <c r="F23" s="155">
        <v>4852</v>
      </c>
      <c r="G23" s="161">
        <v>4803</v>
      </c>
      <c r="H23" s="1276">
        <v>890</v>
      </c>
      <c r="I23" s="156">
        <f>SUM(B23:H23)</f>
        <v>28551</v>
      </c>
      <c r="K23" s="142"/>
      <c r="L23" s="142"/>
      <c r="M23" s="142"/>
      <c r="N23" s="142"/>
      <c r="O23" s="142"/>
      <c r="P23" s="142"/>
      <c r="Q23" s="142"/>
      <c r="R23" s="142"/>
    </row>
    <row r="24" spans="1:18" s="148" customFormat="1" ht="31.5" customHeight="1">
      <c r="A24" s="154" t="s">
        <v>92</v>
      </c>
      <c r="B24" s="155">
        <v>3809</v>
      </c>
      <c r="C24" s="155">
        <v>3903</v>
      </c>
      <c r="D24" s="155">
        <v>4119</v>
      </c>
      <c r="E24" s="155">
        <v>3964</v>
      </c>
      <c r="F24" s="155">
        <v>4088</v>
      </c>
      <c r="G24" s="161">
        <v>4029</v>
      </c>
      <c r="H24" s="1276">
        <v>777</v>
      </c>
      <c r="I24" s="156">
        <f>SUM(B24:H24)</f>
        <v>24689</v>
      </c>
      <c r="K24" s="142"/>
      <c r="L24" s="142"/>
      <c r="M24" s="142"/>
      <c r="N24" s="142"/>
      <c r="O24" s="142"/>
      <c r="P24" s="142"/>
      <c r="Q24" s="142"/>
      <c r="R24" s="142"/>
    </row>
    <row r="25" spans="1:18" s="148" customFormat="1" ht="31.5" customHeight="1">
      <c r="A25" s="154" t="s">
        <v>93</v>
      </c>
      <c r="B25" s="155">
        <v>3395</v>
      </c>
      <c r="C25" s="155">
        <v>3361</v>
      </c>
      <c r="D25" s="155">
        <v>3464</v>
      </c>
      <c r="E25" s="155">
        <v>3419</v>
      </c>
      <c r="F25" s="155">
        <v>3322</v>
      </c>
      <c r="G25" s="161">
        <v>3351</v>
      </c>
      <c r="H25" s="1276">
        <v>595</v>
      </c>
      <c r="I25" s="156">
        <f>SUM(B25:H25)</f>
        <v>20907</v>
      </c>
      <c r="K25" s="142"/>
      <c r="L25" s="142"/>
      <c r="M25" s="142"/>
      <c r="N25" s="142"/>
      <c r="O25" s="142"/>
      <c r="P25" s="142"/>
      <c r="Q25" s="142"/>
      <c r="R25" s="142"/>
    </row>
    <row r="26" spans="1:18" s="148" customFormat="1" ht="31.5" customHeight="1">
      <c r="A26" s="154" t="s">
        <v>430</v>
      </c>
      <c r="B26" s="155">
        <v>896</v>
      </c>
      <c r="C26" s="155">
        <v>818</v>
      </c>
      <c r="D26" s="155">
        <v>840</v>
      </c>
      <c r="E26" s="155">
        <v>815</v>
      </c>
      <c r="F26" s="155">
        <v>815</v>
      </c>
      <c r="G26" s="161">
        <v>783</v>
      </c>
      <c r="H26" s="1276">
        <v>216</v>
      </c>
      <c r="I26" s="156">
        <f>SUM(B26:H26)</f>
        <v>5183</v>
      </c>
      <c r="K26" s="142"/>
      <c r="L26" s="142"/>
      <c r="M26" s="142"/>
      <c r="N26" s="142"/>
      <c r="O26" s="142"/>
      <c r="P26" s="142"/>
      <c r="Q26" s="142"/>
      <c r="R26" s="142"/>
    </row>
    <row r="27" spans="1:18" s="148" customFormat="1" ht="31.5" customHeight="1">
      <c r="A27" s="157" t="s">
        <v>94</v>
      </c>
      <c r="B27" s="158">
        <f aca="true" t="shared" si="3" ref="B27:I27">SUM(B22:B26)</f>
        <v>18327</v>
      </c>
      <c r="C27" s="158">
        <f t="shared" si="3"/>
        <v>18522</v>
      </c>
      <c r="D27" s="158">
        <f t="shared" si="3"/>
        <v>19175</v>
      </c>
      <c r="E27" s="158">
        <f t="shared" si="3"/>
        <v>18891</v>
      </c>
      <c r="F27" s="158">
        <f t="shared" si="3"/>
        <v>19277</v>
      </c>
      <c r="G27" s="167">
        <f t="shared" si="3"/>
        <v>19145</v>
      </c>
      <c r="H27" s="1280">
        <f t="shared" si="3"/>
        <v>4090</v>
      </c>
      <c r="I27" s="159">
        <f t="shared" si="3"/>
        <v>117427</v>
      </c>
      <c r="K27" s="142"/>
      <c r="L27" s="142"/>
      <c r="M27" s="142"/>
      <c r="N27" s="142"/>
      <c r="O27" s="142"/>
      <c r="P27" s="142"/>
      <c r="Q27" s="142"/>
      <c r="R27" s="142"/>
    </row>
    <row r="28" spans="1:18" s="148" customFormat="1" ht="18.75" customHeight="1">
      <c r="A28" s="168" t="s">
        <v>95</v>
      </c>
      <c r="H28" s="1281"/>
      <c r="K28" s="142"/>
      <c r="L28" s="142"/>
      <c r="M28" s="142"/>
      <c r="N28" s="142"/>
      <c r="O28" s="142"/>
      <c r="P28" s="142"/>
      <c r="Q28" s="142"/>
      <c r="R28" s="142"/>
    </row>
  </sheetData>
  <sheetProtection/>
  <mergeCells count="4">
    <mergeCell ref="A3:A4"/>
    <mergeCell ref="A20:A21"/>
    <mergeCell ref="I20:I21"/>
    <mergeCell ref="I3:I4"/>
  </mergeCells>
  <printOptions/>
  <pageMargins left="0.59" right="0.27" top="0.66" bottom="0.3" header="0.38" footer="0"/>
  <pageSetup horizontalDpi="300" verticalDpi="300" orientation="portrait" paperSize="9" r:id="rId1"/>
  <headerFooter alignWithMargins="0">
    <oddHeader>&amp;C&amp;"Times New Roman,Regular"- 13 -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pane xSplit="9" ySplit="5" topLeftCell="M6" activePane="bottomRight" state="frozen"/>
      <selection pane="topLeft" activeCell="B12" sqref="B12:H12"/>
      <selection pane="topRight" activeCell="B12" sqref="B12:H12"/>
      <selection pane="bottomLeft" activeCell="B12" sqref="B12:H12"/>
      <selection pane="bottomRight" activeCell="U32" sqref="U32"/>
    </sheetView>
  </sheetViews>
  <sheetFormatPr defaultColWidth="9.140625" defaultRowHeight="12.75"/>
  <cols>
    <col min="1" max="1" width="1.7109375" style="169" customWidth="1"/>
    <col min="2" max="2" width="2.7109375" style="169" customWidth="1"/>
    <col min="3" max="3" width="10.7109375" style="169" customWidth="1"/>
    <col min="4" max="6" width="10.7109375" style="169" hidden="1" customWidth="1"/>
    <col min="7" max="7" width="8.57421875" style="169" hidden="1" customWidth="1"/>
    <col min="8" max="9" width="8.421875" style="169" hidden="1" customWidth="1"/>
    <col min="10" max="10" width="8.57421875" style="169" hidden="1" customWidth="1"/>
    <col min="11" max="12" width="8.421875" style="169" hidden="1" customWidth="1"/>
    <col min="13" max="13" width="8.57421875" style="169" customWidth="1"/>
    <col min="14" max="14" width="8.421875" style="169" customWidth="1"/>
    <col min="15" max="15" width="8.28125" style="169" customWidth="1"/>
    <col min="16" max="16384" width="9.140625" style="169" customWidth="1"/>
  </cols>
  <sheetData>
    <row r="1" ht="18" customHeight="1">
      <c r="A1" s="1170" t="s">
        <v>399</v>
      </c>
    </row>
    <row r="2" ht="12.75" customHeight="1"/>
    <row r="3" spans="1:21" s="170" customFormat="1" ht="18.75" customHeight="1">
      <c r="A3" s="1450" t="s">
        <v>96</v>
      </c>
      <c r="B3" s="1451"/>
      <c r="C3" s="1452"/>
      <c r="D3" s="1447">
        <v>2005</v>
      </c>
      <c r="E3" s="1448"/>
      <c r="F3" s="1449"/>
      <c r="G3" s="1447">
        <v>2006</v>
      </c>
      <c r="H3" s="1448"/>
      <c r="I3" s="1449"/>
      <c r="J3" s="1447">
        <v>2007</v>
      </c>
      <c r="K3" s="1448"/>
      <c r="L3" s="1449"/>
      <c r="M3" s="1447">
        <v>2008</v>
      </c>
      <c r="N3" s="1448"/>
      <c r="O3" s="1449"/>
      <c r="P3" s="1447">
        <v>2009</v>
      </c>
      <c r="Q3" s="1448"/>
      <c r="R3" s="1449"/>
      <c r="S3" s="1447">
        <v>2010</v>
      </c>
      <c r="T3" s="1448"/>
      <c r="U3" s="1449"/>
    </row>
    <row r="4" spans="1:21" s="170" customFormat="1" ht="19.5" customHeight="1">
      <c r="A4" s="1453"/>
      <c r="B4" s="1454"/>
      <c r="C4" s="1455"/>
      <c r="D4" s="171" t="s">
        <v>5</v>
      </c>
      <c r="E4" s="172" t="s">
        <v>39</v>
      </c>
      <c r="F4" s="173" t="s">
        <v>40</v>
      </c>
      <c r="G4" s="171" t="s">
        <v>5</v>
      </c>
      <c r="H4" s="172" t="s">
        <v>39</v>
      </c>
      <c r="I4" s="173" t="s">
        <v>40</v>
      </c>
      <c r="J4" s="171" t="s">
        <v>5</v>
      </c>
      <c r="K4" s="172" t="s">
        <v>39</v>
      </c>
      <c r="L4" s="173" t="s">
        <v>40</v>
      </c>
      <c r="M4" s="171" t="s">
        <v>5</v>
      </c>
      <c r="N4" s="172" t="s">
        <v>39</v>
      </c>
      <c r="O4" s="173" t="s">
        <v>40</v>
      </c>
      <c r="P4" s="171" t="s">
        <v>5</v>
      </c>
      <c r="Q4" s="172" t="s">
        <v>39</v>
      </c>
      <c r="R4" s="173" t="s">
        <v>40</v>
      </c>
      <c r="S4" s="171" t="s">
        <v>5</v>
      </c>
      <c r="T4" s="172" t="s">
        <v>39</v>
      </c>
      <c r="U4" s="173" t="s">
        <v>40</v>
      </c>
    </row>
    <row r="5" spans="1:21" s="170" customFormat="1" ht="21.75" customHeight="1">
      <c r="A5" s="174" t="s">
        <v>46</v>
      </c>
      <c r="B5" s="175"/>
      <c r="C5" s="175"/>
      <c r="D5" s="176"/>
      <c r="E5" s="176"/>
      <c r="F5" s="176"/>
      <c r="I5" s="176"/>
      <c r="J5" s="176"/>
      <c r="L5" s="176"/>
      <c r="M5" s="1023"/>
      <c r="O5" s="177"/>
      <c r="P5" s="1023"/>
      <c r="R5" s="177"/>
      <c r="S5" s="1023"/>
      <c r="U5" s="177"/>
    </row>
    <row r="6" spans="1:21" s="184" customFormat="1" ht="25.5" customHeight="1">
      <c r="A6" s="178" t="s">
        <v>97</v>
      </c>
      <c r="B6" s="179" t="s">
        <v>83</v>
      </c>
      <c r="C6" s="180"/>
      <c r="D6" s="181">
        <f aca="true" t="shared" si="0" ref="D6:D12">E6+F6</f>
        <v>19525</v>
      </c>
      <c r="E6" s="182">
        <v>9928</v>
      </c>
      <c r="F6" s="183">
        <v>9597</v>
      </c>
      <c r="G6" s="181">
        <f aca="true" t="shared" si="1" ref="G6:G12">H6+I6</f>
        <v>19437</v>
      </c>
      <c r="H6" s="182">
        <v>9861</v>
      </c>
      <c r="I6" s="183">
        <v>9576</v>
      </c>
      <c r="J6" s="181">
        <f aca="true" t="shared" si="2" ref="J6:J12">K6+L6</f>
        <v>18831</v>
      </c>
      <c r="K6" s="182">
        <f>K15+K24</f>
        <v>9465</v>
      </c>
      <c r="L6" s="183">
        <f aca="true" t="shared" si="3" ref="L6:L12">L15+L24</f>
        <v>9366</v>
      </c>
      <c r="M6" s="188">
        <f aca="true" t="shared" si="4" ref="M6:M12">N6+O6</f>
        <v>19048</v>
      </c>
      <c r="N6" s="182">
        <f>N15+N24</f>
        <v>9587</v>
      </c>
      <c r="O6" s="183">
        <f aca="true" t="shared" si="5" ref="O6:O12">O15+O24</f>
        <v>9461</v>
      </c>
      <c r="P6" s="188">
        <f aca="true" t="shared" si="6" ref="P6:P12">Q6+R6</f>
        <v>18613</v>
      </c>
      <c r="Q6" s="182">
        <f>Q15+Q24</f>
        <v>9452</v>
      </c>
      <c r="R6" s="183">
        <f aca="true" t="shared" si="7" ref="R6:R12">R15+R24</f>
        <v>9161</v>
      </c>
      <c r="S6" s="188">
        <f aca="true" t="shared" si="8" ref="S6:S12">T6+U6</f>
        <v>18327</v>
      </c>
      <c r="T6" s="182">
        <f>T15+T24</f>
        <v>9182</v>
      </c>
      <c r="U6" s="183">
        <f aca="true" t="shared" si="9" ref="U6:U12">U15+U24</f>
        <v>9145</v>
      </c>
    </row>
    <row r="7" spans="1:21" s="184" customFormat="1" ht="25.5" customHeight="1">
      <c r="A7" s="185"/>
      <c r="B7" s="186" t="s">
        <v>84</v>
      </c>
      <c r="C7" s="187"/>
      <c r="D7" s="188">
        <f t="shared" si="0"/>
        <v>18578</v>
      </c>
      <c r="E7" s="189">
        <v>9420</v>
      </c>
      <c r="F7" s="190">
        <v>9158</v>
      </c>
      <c r="G7" s="188">
        <f t="shared" si="1"/>
        <v>19623</v>
      </c>
      <c r="H7" s="189">
        <v>9937</v>
      </c>
      <c r="I7" s="190">
        <v>9686</v>
      </c>
      <c r="J7" s="188">
        <f t="shared" si="2"/>
        <v>19468</v>
      </c>
      <c r="K7" s="189">
        <f aca="true" t="shared" si="10" ref="K7:K12">K16+K25</f>
        <v>9850</v>
      </c>
      <c r="L7" s="190">
        <f t="shared" si="3"/>
        <v>9618</v>
      </c>
      <c r="M7" s="188">
        <f t="shared" si="4"/>
        <v>18915</v>
      </c>
      <c r="N7" s="189">
        <f aca="true" t="shared" si="11" ref="N7:N12">N16+N25</f>
        <v>9533</v>
      </c>
      <c r="O7" s="190">
        <f t="shared" si="5"/>
        <v>9382</v>
      </c>
      <c r="P7" s="188">
        <f t="shared" si="6"/>
        <v>19121</v>
      </c>
      <c r="Q7" s="189">
        <f aca="true" t="shared" si="12" ref="Q7:Q12">Q16+Q25</f>
        <v>9604</v>
      </c>
      <c r="R7" s="190">
        <f t="shared" si="7"/>
        <v>9517</v>
      </c>
      <c r="S7" s="188">
        <f t="shared" si="8"/>
        <v>18522</v>
      </c>
      <c r="T7" s="189">
        <f aca="true" t="shared" si="13" ref="T7:T12">T16+T25</f>
        <v>9380</v>
      </c>
      <c r="U7" s="190">
        <f t="shared" si="9"/>
        <v>9142</v>
      </c>
    </row>
    <row r="8" spans="1:21" s="184" customFormat="1" ht="25.5" customHeight="1">
      <c r="A8" s="185"/>
      <c r="B8" s="186" t="s">
        <v>85</v>
      </c>
      <c r="C8" s="187"/>
      <c r="D8" s="188">
        <f t="shared" si="0"/>
        <v>19179</v>
      </c>
      <c r="E8" s="189">
        <v>9733</v>
      </c>
      <c r="F8" s="190">
        <v>9446</v>
      </c>
      <c r="G8" s="188">
        <f t="shared" si="1"/>
        <v>18600</v>
      </c>
      <c r="H8" s="189">
        <v>9426</v>
      </c>
      <c r="I8" s="190">
        <v>9174</v>
      </c>
      <c r="J8" s="188">
        <f t="shared" si="2"/>
        <v>19548</v>
      </c>
      <c r="K8" s="189">
        <f t="shared" si="10"/>
        <v>9921</v>
      </c>
      <c r="L8" s="190">
        <f t="shared" si="3"/>
        <v>9627</v>
      </c>
      <c r="M8" s="188">
        <f t="shared" si="4"/>
        <v>19425</v>
      </c>
      <c r="N8" s="189">
        <f t="shared" si="11"/>
        <v>9926</v>
      </c>
      <c r="O8" s="190">
        <f t="shared" si="5"/>
        <v>9499</v>
      </c>
      <c r="P8" s="188">
        <f t="shared" si="6"/>
        <v>18955</v>
      </c>
      <c r="Q8" s="189">
        <f t="shared" si="12"/>
        <v>9513</v>
      </c>
      <c r="R8" s="190">
        <f t="shared" si="7"/>
        <v>9442</v>
      </c>
      <c r="S8" s="188">
        <f t="shared" si="8"/>
        <v>19175</v>
      </c>
      <c r="T8" s="189">
        <f t="shared" si="13"/>
        <v>9648</v>
      </c>
      <c r="U8" s="190">
        <f t="shared" si="9"/>
        <v>9527</v>
      </c>
    </row>
    <row r="9" spans="1:21" s="184" customFormat="1" ht="25.5" customHeight="1">
      <c r="A9" s="185"/>
      <c r="B9" s="186" t="s">
        <v>86</v>
      </c>
      <c r="C9" s="187"/>
      <c r="D9" s="188">
        <f t="shared" si="0"/>
        <v>19716</v>
      </c>
      <c r="E9" s="189">
        <v>9863</v>
      </c>
      <c r="F9" s="190">
        <v>9853</v>
      </c>
      <c r="G9" s="188">
        <f t="shared" si="1"/>
        <v>19105</v>
      </c>
      <c r="H9" s="189">
        <v>9648</v>
      </c>
      <c r="I9" s="190">
        <v>9457</v>
      </c>
      <c r="J9" s="188">
        <f t="shared" si="2"/>
        <v>18522</v>
      </c>
      <c r="K9" s="189">
        <f t="shared" si="10"/>
        <v>9402</v>
      </c>
      <c r="L9" s="190">
        <f t="shared" si="3"/>
        <v>9120</v>
      </c>
      <c r="M9" s="188">
        <f t="shared" si="4"/>
        <v>19488</v>
      </c>
      <c r="N9" s="189">
        <f t="shared" si="11"/>
        <v>9849</v>
      </c>
      <c r="O9" s="190">
        <f t="shared" si="5"/>
        <v>9639</v>
      </c>
      <c r="P9" s="188">
        <f t="shared" si="6"/>
        <v>19329</v>
      </c>
      <c r="Q9" s="189">
        <f t="shared" si="12"/>
        <v>9759</v>
      </c>
      <c r="R9" s="190">
        <f t="shared" si="7"/>
        <v>9570</v>
      </c>
      <c r="S9" s="188">
        <f t="shared" si="8"/>
        <v>18891</v>
      </c>
      <c r="T9" s="189">
        <f t="shared" si="13"/>
        <v>9500</v>
      </c>
      <c r="U9" s="190">
        <f t="shared" si="9"/>
        <v>9391</v>
      </c>
    </row>
    <row r="10" spans="1:21" s="184" customFormat="1" ht="25.5" customHeight="1">
      <c r="A10" s="185"/>
      <c r="B10" s="186" t="s">
        <v>87</v>
      </c>
      <c r="C10" s="187"/>
      <c r="D10" s="188">
        <f t="shared" si="0"/>
        <v>19798</v>
      </c>
      <c r="E10" s="189">
        <v>9897</v>
      </c>
      <c r="F10" s="190">
        <v>9901</v>
      </c>
      <c r="G10" s="188">
        <f t="shared" si="1"/>
        <v>19683</v>
      </c>
      <c r="H10" s="189">
        <v>9833</v>
      </c>
      <c r="I10" s="190">
        <v>9850</v>
      </c>
      <c r="J10" s="188">
        <f t="shared" si="2"/>
        <v>19044</v>
      </c>
      <c r="K10" s="189">
        <f t="shared" si="10"/>
        <v>9627</v>
      </c>
      <c r="L10" s="190">
        <f t="shared" si="3"/>
        <v>9417</v>
      </c>
      <c r="M10" s="188">
        <f t="shared" si="4"/>
        <v>18487</v>
      </c>
      <c r="N10" s="189">
        <f t="shared" si="11"/>
        <v>9416</v>
      </c>
      <c r="O10" s="190">
        <f t="shared" si="5"/>
        <v>9071</v>
      </c>
      <c r="P10" s="188">
        <f t="shared" si="6"/>
        <v>19310</v>
      </c>
      <c r="Q10" s="189">
        <f t="shared" si="12"/>
        <v>9805</v>
      </c>
      <c r="R10" s="190">
        <f t="shared" si="7"/>
        <v>9505</v>
      </c>
      <c r="S10" s="188">
        <f t="shared" si="8"/>
        <v>19277</v>
      </c>
      <c r="T10" s="189">
        <f t="shared" si="13"/>
        <v>9796</v>
      </c>
      <c r="U10" s="190">
        <f t="shared" si="9"/>
        <v>9481</v>
      </c>
    </row>
    <row r="11" spans="1:21" s="184" customFormat="1" ht="25.5" customHeight="1">
      <c r="A11" s="185"/>
      <c r="B11" s="186" t="s">
        <v>88</v>
      </c>
      <c r="C11" s="187"/>
      <c r="D11" s="188">
        <f t="shared" si="0"/>
        <v>20801</v>
      </c>
      <c r="E11" s="189">
        <v>10480</v>
      </c>
      <c r="F11" s="190">
        <v>10321</v>
      </c>
      <c r="G11" s="188">
        <f t="shared" si="1"/>
        <v>19568</v>
      </c>
      <c r="H11" s="189">
        <v>9766</v>
      </c>
      <c r="I11" s="190">
        <v>9802</v>
      </c>
      <c r="J11" s="188">
        <f t="shared" si="2"/>
        <v>19456</v>
      </c>
      <c r="K11" s="189">
        <f t="shared" si="10"/>
        <v>9715</v>
      </c>
      <c r="L11" s="190">
        <f t="shared" si="3"/>
        <v>9741</v>
      </c>
      <c r="M11" s="188">
        <f t="shared" si="4"/>
        <v>18901</v>
      </c>
      <c r="N11" s="189">
        <f t="shared" si="11"/>
        <v>9570</v>
      </c>
      <c r="O11" s="190">
        <f t="shared" si="5"/>
        <v>9331</v>
      </c>
      <c r="P11" s="188">
        <f t="shared" si="6"/>
        <v>18282</v>
      </c>
      <c r="Q11" s="189">
        <f t="shared" si="12"/>
        <v>9250</v>
      </c>
      <c r="R11" s="190">
        <f t="shared" si="7"/>
        <v>9032</v>
      </c>
      <c r="S11" s="188">
        <f t="shared" si="8"/>
        <v>19145</v>
      </c>
      <c r="T11" s="189">
        <f t="shared" si="13"/>
        <v>9716</v>
      </c>
      <c r="U11" s="190">
        <f t="shared" si="9"/>
        <v>9429</v>
      </c>
    </row>
    <row r="12" spans="1:21" s="184" customFormat="1" ht="25.5" customHeight="1">
      <c r="A12" s="185"/>
      <c r="B12" s="186" t="s">
        <v>88</v>
      </c>
      <c r="C12" s="191" t="s">
        <v>98</v>
      </c>
      <c r="D12" s="188">
        <f t="shared" si="0"/>
        <v>5965</v>
      </c>
      <c r="E12" s="189">
        <v>3408</v>
      </c>
      <c r="F12" s="190">
        <v>2557</v>
      </c>
      <c r="G12" s="188">
        <f t="shared" si="1"/>
        <v>5371</v>
      </c>
      <c r="H12" s="189">
        <v>3216</v>
      </c>
      <c r="I12" s="190">
        <v>2155</v>
      </c>
      <c r="J12" s="188">
        <f t="shared" si="2"/>
        <v>4441</v>
      </c>
      <c r="K12" s="189">
        <f t="shared" si="10"/>
        <v>2661</v>
      </c>
      <c r="L12" s="190">
        <f t="shared" si="3"/>
        <v>1780</v>
      </c>
      <c r="M12" s="188">
        <f t="shared" si="4"/>
        <v>4758</v>
      </c>
      <c r="N12" s="189">
        <f t="shared" si="11"/>
        <v>2812</v>
      </c>
      <c r="O12" s="190">
        <f t="shared" si="5"/>
        <v>1946</v>
      </c>
      <c r="P12" s="188">
        <f t="shared" si="6"/>
        <v>4312</v>
      </c>
      <c r="Q12" s="189">
        <f t="shared" si="12"/>
        <v>2565</v>
      </c>
      <c r="R12" s="190">
        <f t="shared" si="7"/>
        <v>1747</v>
      </c>
      <c r="S12" s="188">
        <f t="shared" si="8"/>
        <v>4090</v>
      </c>
      <c r="T12" s="189">
        <f t="shared" si="13"/>
        <v>2451</v>
      </c>
      <c r="U12" s="190">
        <f t="shared" si="9"/>
        <v>1639</v>
      </c>
    </row>
    <row r="13" spans="1:21" s="184" customFormat="1" ht="25.5" customHeight="1">
      <c r="A13" s="192" t="s">
        <v>5</v>
      </c>
      <c r="B13" s="193"/>
      <c r="C13" s="194"/>
      <c r="D13" s="195">
        <f>SUM(D6:D12)</f>
        <v>123562</v>
      </c>
      <c r="E13" s="196">
        <f>SUM(E6:E12)</f>
        <v>62729</v>
      </c>
      <c r="F13" s="197">
        <f>D13-E13</f>
        <v>60833</v>
      </c>
      <c r="G13" s="195">
        <f aca="true" t="shared" si="14" ref="G13:L13">SUM(G6:G12)</f>
        <v>121387</v>
      </c>
      <c r="H13" s="196">
        <f t="shared" si="14"/>
        <v>61687</v>
      </c>
      <c r="I13" s="197">
        <f t="shared" si="14"/>
        <v>59700</v>
      </c>
      <c r="J13" s="195">
        <f t="shared" si="14"/>
        <v>119310</v>
      </c>
      <c r="K13" s="196">
        <f t="shared" si="14"/>
        <v>60641</v>
      </c>
      <c r="L13" s="197">
        <f t="shared" si="14"/>
        <v>58669</v>
      </c>
      <c r="M13" s="181">
        <f aca="true" t="shared" si="15" ref="M13:R13">SUM(M6:M12)</f>
        <v>119022</v>
      </c>
      <c r="N13" s="196">
        <f t="shared" si="15"/>
        <v>60693</v>
      </c>
      <c r="O13" s="197">
        <f t="shared" si="15"/>
        <v>58329</v>
      </c>
      <c r="P13" s="181">
        <f t="shared" si="15"/>
        <v>117922</v>
      </c>
      <c r="Q13" s="196">
        <f t="shared" si="15"/>
        <v>59948</v>
      </c>
      <c r="R13" s="197">
        <f t="shared" si="15"/>
        <v>57974</v>
      </c>
      <c r="S13" s="181">
        <f>SUM(S6:S12)</f>
        <v>117427</v>
      </c>
      <c r="T13" s="196">
        <f>SUM(T6:T12)</f>
        <v>59673</v>
      </c>
      <c r="U13" s="197">
        <f>SUM(U6:U12)</f>
        <v>57754</v>
      </c>
    </row>
    <row r="14" spans="1:21" s="184" customFormat="1" ht="22.5" customHeight="1">
      <c r="A14" s="174" t="s">
        <v>44</v>
      </c>
      <c r="B14" s="198"/>
      <c r="C14" s="199"/>
      <c r="D14" s="193"/>
      <c r="E14" s="200"/>
      <c r="F14" s="193"/>
      <c r="G14" s="193"/>
      <c r="H14" s="200"/>
      <c r="I14" s="200"/>
      <c r="J14" s="201"/>
      <c r="L14" s="1024"/>
      <c r="M14" s="201"/>
      <c r="O14" s="202"/>
      <c r="P14" s="201"/>
      <c r="R14" s="202"/>
      <c r="S14" s="201"/>
      <c r="U14" s="202"/>
    </row>
    <row r="15" spans="1:21" s="184" customFormat="1" ht="25.5" customHeight="1">
      <c r="A15" s="178" t="s">
        <v>97</v>
      </c>
      <c r="B15" s="179" t="s">
        <v>83</v>
      </c>
      <c r="C15" s="180"/>
      <c r="D15" s="181">
        <f aca="true" t="shared" si="16" ref="D15:D21">E15+F15</f>
        <v>18700</v>
      </c>
      <c r="E15" s="182">
        <v>9509</v>
      </c>
      <c r="F15" s="183">
        <v>9191</v>
      </c>
      <c r="G15" s="181">
        <f aca="true" t="shared" si="17" ref="G15:G21">H15+I15</f>
        <v>18594</v>
      </c>
      <c r="H15" s="182">
        <f>3150+2480+2063+1737</f>
        <v>9430</v>
      </c>
      <c r="I15" s="183">
        <f>3019+2397+2049+1699</f>
        <v>9164</v>
      </c>
      <c r="J15" s="181">
        <f aca="true" t="shared" si="18" ref="J15:J21">K15+L15</f>
        <v>18003</v>
      </c>
      <c r="K15" s="182">
        <v>9036</v>
      </c>
      <c r="L15" s="183">
        <v>8967</v>
      </c>
      <c r="M15" s="188">
        <f aca="true" t="shared" si="19" ref="M15:M21">N15+O15</f>
        <v>18201</v>
      </c>
      <c r="N15" s="182">
        <v>9174</v>
      </c>
      <c r="O15" s="183">
        <v>9027</v>
      </c>
      <c r="P15" s="188">
        <f aca="true" t="shared" si="20" ref="P15:P21">Q15+R15</f>
        <v>17800</v>
      </c>
      <c r="Q15" s="182">
        <v>9028</v>
      </c>
      <c r="R15" s="183">
        <v>8772</v>
      </c>
      <c r="S15" s="188">
        <f aca="true" t="shared" si="21" ref="S15:S21">T15+U15</f>
        <v>17431</v>
      </c>
      <c r="T15" s="182">
        <v>8734</v>
      </c>
      <c r="U15" s="183">
        <v>8697</v>
      </c>
    </row>
    <row r="16" spans="1:21" s="184" customFormat="1" ht="25.5" customHeight="1">
      <c r="A16" s="185"/>
      <c r="B16" s="186" t="s">
        <v>84</v>
      </c>
      <c r="C16" s="187"/>
      <c r="D16" s="188">
        <f t="shared" si="16"/>
        <v>17862</v>
      </c>
      <c r="E16" s="189">
        <v>9054</v>
      </c>
      <c r="F16" s="190">
        <v>8808</v>
      </c>
      <c r="G16" s="188">
        <f t="shared" si="17"/>
        <v>18796</v>
      </c>
      <c r="H16" s="189">
        <f>3189+2480+2097+1741</f>
        <v>9507</v>
      </c>
      <c r="I16" s="190">
        <f>3111+2404+2089+1685</f>
        <v>9289</v>
      </c>
      <c r="J16" s="188">
        <f t="shared" si="18"/>
        <v>18636</v>
      </c>
      <c r="K16" s="189">
        <v>9427</v>
      </c>
      <c r="L16" s="190">
        <v>9209</v>
      </c>
      <c r="M16" s="188">
        <f t="shared" si="19"/>
        <v>18100</v>
      </c>
      <c r="N16" s="189">
        <v>9121</v>
      </c>
      <c r="O16" s="190">
        <v>8979</v>
      </c>
      <c r="P16" s="188">
        <f t="shared" si="20"/>
        <v>18275</v>
      </c>
      <c r="Q16" s="189">
        <v>9187</v>
      </c>
      <c r="R16" s="190">
        <v>9088</v>
      </c>
      <c r="S16" s="188">
        <f t="shared" si="21"/>
        <v>17704</v>
      </c>
      <c r="T16" s="189">
        <v>8965</v>
      </c>
      <c r="U16" s="190">
        <v>8739</v>
      </c>
    </row>
    <row r="17" spans="1:21" s="184" customFormat="1" ht="25.5" customHeight="1">
      <c r="A17" s="185"/>
      <c r="B17" s="186" t="s">
        <v>85</v>
      </c>
      <c r="C17" s="187"/>
      <c r="D17" s="188">
        <f t="shared" si="16"/>
        <v>18445</v>
      </c>
      <c r="E17" s="189">
        <v>9364</v>
      </c>
      <c r="F17" s="190">
        <v>9081</v>
      </c>
      <c r="G17" s="188">
        <f t="shared" si="17"/>
        <v>17888</v>
      </c>
      <c r="H17" s="189">
        <f>3083+2356+2005+1619</f>
        <v>9063</v>
      </c>
      <c r="I17" s="190">
        <f>2968+2238+1935+1684</f>
        <v>8825</v>
      </c>
      <c r="J17" s="188">
        <f t="shared" si="18"/>
        <v>18725</v>
      </c>
      <c r="K17" s="189">
        <v>9500</v>
      </c>
      <c r="L17" s="190">
        <v>9225</v>
      </c>
      <c r="M17" s="188">
        <f t="shared" si="19"/>
        <v>18601</v>
      </c>
      <c r="N17" s="189">
        <v>9507</v>
      </c>
      <c r="O17" s="190">
        <v>9094</v>
      </c>
      <c r="P17" s="188">
        <f t="shared" si="20"/>
        <v>18149</v>
      </c>
      <c r="Q17" s="189">
        <v>9110</v>
      </c>
      <c r="R17" s="190">
        <v>9039</v>
      </c>
      <c r="S17" s="188">
        <f t="shared" si="21"/>
        <v>18335</v>
      </c>
      <c r="T17" s="189">
        <v>9229</v>
      </c>
      <c r="U17" s="190">
        <v>9106</v>
      </c>
    </row>
    <row r="18" spans="1:21" s="184" customFormat="1" ht="25.5" customHeight="1">
      <c r="A18" s="185"/>
      <c r="B18" s="186" t="s">
        <v>86</v>
      </c>
      <c r="C18" s="187"/>
      <c r="D18" s="188">
        <f t="shared" si="16"/>
        <v>18986</v>
      </c>
      <c r="E18" s="189">
        <v>9523</v>
      </c>
      <c r="F18" s="190">
        <v>9463</v>
      </c>
      <c r="G18" s="188">
        <f t="shared" si="17"/>
        <v>18368</v>
      </c>
      <c r="H18" s="189">
        <f>3112+2368+2068+1728</f>
        <v>9276</v>
      </c>
      <c r="I18" s="190">
        <f>3032+2322+2075+1663</f>
        <v>9092</v>
      </c>
      <c r="J18" s="188">
        <f t="shared" si="18"/>
        <v>17819</v>
      </c>
      <c r="K18" s="189">
        <v>9034</v>
      </c>
      <c r="L18" s="190">
        <v>8785</v>
      </c>
      <c r="M18" s="188">
        <f t="shared" si="19"/>
        <v>18681</v>
      </c>
      <c r="N18" s="189">
        <v>9434</v>
      </c>
      <c r="O18" s="190">
        <v>9247</v>
      </c>
      <c r="P18" s="188">
        <f t="shared" si="20"/>
        <v>18506</v>
      </c>
      <c r="Q18" s="189">
        <v>9338</v>
      </c>
      <c r="R18" s="190">
        <v>9168</v>
      </c>
      <c r="S18" s="188">
        <f t="shared" si="21"/>
        <v>18076</v>
      </c>
      <c r="T18" s="189">
        <v>9097</v>
      </c>
      <c r="U18" s="190">
        <v>8979</v>
      </c>
    </row>
    <row r="19" spans="1:21" s="184" customFormat="1" ht="25.5" customHeight="1">
      <c r="A19" s="185"/>
      <c r="B19" s="186" t="s">
        <v>87</v>
      </c>
      <c r="C19" s="187"/>
      <c r="D19" s="188">
        <f t="shared" si="16"/>
        <v>19047</v>
      </c>
      <c r="E19" s="189">
        <v>9534</v>
      </c>
      <c r="F19" s="190">
        <v>9513</v>
      </c>
      <c r="G19" s="188">
        <f t="shared" si="17"/>
        <v>18959</v>
      </c>
      <c r="H19" s="189">
        <f>3140+2439+2105+1810</f>
        <v>9494</v>
      </c>
      <c r="I19" s="190">
        <f>3218+2382+2072+1793</f>
        <v>9465</v>
      </c>
      <c r="J19" s="188">
        <f t="shared" si="18"/>
        <v>18309</v>
      </c>
      <c r="K19" s="189">
        <v>9261</v>
      </c>
      <c r="L19" s="190">
        <v>9048</v>
      </c>
      <c r="M19" s="188">
        <f t="shared" si="19"/>
        <v>17788</v>
      </c>
      <c r="N19" s="189">
        <v>9054</v>
      </c>
      <c r="O19" s="190">
        <v>8734</v>
      </c>
      <c r="P19" s="188">
        <f t="shared" si="20"/>
        <v>18510</v>
      </c>
      <c r="Q19" s="189">
        <v>9396</v>
      </c>
      <c r="R19" s="190">
        <v>9114</v>
      </c>
      <c r="S19" s="188">
        <f t="shared" si="21"/>
        <v>18462</v>
      </c>
      <c r="T19" s="189">
        <v>9379</v>
      </c>
      <c r="U19" s="190">
        <v>9083</v>
      </c>
    </row>
    <row r="20" spans="1:21" s="184" customFormat="1" ht="25.5" customHeight="1">
      <c r="A20" s="185"/>
      <c r="B20" s="186" t="s">
        <v>88</v>
      </c>
      <c r="C20" s="187"/>
      <c r="D20" s="188">
        <f t="shared" si="16"/>
        <v>20005</v>
      </c>
      <c r="E20" s="189">
        <v>10087</v>
      </c>
      <c r="F20" s="190">
        <v>9918</v>
      </c>
      <c r="G20" s="188">
        <f t="shared" si="17"/>
        <v>18814</v>
      </c>
      <c r="H20" s="189">
        <f>3299+2344+2104+1659</f>
        <v>9406</v>
      </c>
      <c r="I20" s="190">
        <f>3186+2372+2063+1787</f>
        <v>9408</v>
      </c>
      <c r="J20" s="188">
        <f t="shared" si="18"/>
        <v>18735</v>
      </c>
      <c r="K20" s="189">
        <v>9375</v>
      </c>
      <c r="L20" s="190">
        <v>9360</v>
      </c>
      <c r="M20" s="188">
        <f t="shared" si="19"/>
        <v>18178</v>
      </c>
      <c r="N20" s="189">
        <v>9200</v>
      </c>
      <c r="O20" s="190">
        <v>8978</v>
      </c>
      <c r="P20" s="188">
        <f t="shared" si="20"/>
        <v>17588</v>
      </c>
      <c r="Q20" s="189">
        <v>8903</v>
      </c>
      <c r="R20" s="190">
        <v>8685</v>
      </c>
      <c r="S20" s="188">
        <f t="shared" si="21"/>
        <v>18362</v>
      </c>
      <c r="T20" s="189">
        <v>9319</v>
      </c>
      <c r="U20" s="190">
        <v>9043</v>
      </c>
    </row>
    <row r="21" spans="1:21" s="184" customFormat="1" ht="25.5" customHeight="1">
      <c r="A21" s="185"/>
      <c r="B21" s="186" t="s">
        <v>88</v>
      </c>
      <c r="C21" s="191" t="s">
        <v>98</v>
      </c>
      <c r="D21" s="188">
        <f t="shared" si="16"/>
        <v>5692</v>
      </c>
      <c r="E21" s="189">
        <v>3264</v>
      </c>
      <c r="F21" s="190">
        <v>2428</v>
      </c>
      <c r="G21" s="188">
        <f t="shared" si="17"/>
        <v>5094</v>
      </c>
      <c r="H21" s="189">
        <f>1156+722+647+528</f>
        <v>3053</v>
      </c>
      <c r="I21" s="190">
        <f>795+496+406+344</f>
        <v>2041</v>
      </c>
      <c r="J21" s="188">
        <f t="shared" si="18"/>
        <v>4177</v>
      </c>
      <c r="K21" s="189">
        <v>2504</v>
      </c>
      <c r="L21" s="190">
        <v>1673</v>
      </c>
      <c r="M21" s="188">
        <f t="shared" si="19"/>
        <v>4458</v>
      </c>
      <c r="N21" s="189">
        <v>2638</v>
      </c>
      <c r="O21" s="190">
        <v>1820</v>
      </c>
      <c r="P21" s="188">
        <f t="shared" si="20"/>
        <v>4056</v>
      </c>
      <c r="Q21" s="189">
        <v>2407</v>
      </c>
      <c r="R21" s="190">
        <v>1649</v>
      </c>
      <c r="S21" s="188">
        <f t="shared" si="21"/>
        <v>3874</v>
      </c>
      <c r="T21" s="189">
        <v>2309</v>
      </c>
      <c r="U21" s="190">
        <v>1565</v>
      </c>
    </row>
    <row r="22" spans="1:21" s="184" customFormat="1" ht="25.5" customHeight="1">
      <c r="A22" s="192" t="s">
        <v>5</v>
      </c>
      <c r="B22" s="193"/>
      <c r="C22" s="194"/>
      <c r="D22" s="195">
        <f>SUM(D15:D21)</f>
        <v>118737</v>
      </c>
      <c r="E22" s="196">
        <f>SUM(E15:E21)</f>
        <v>60335</v>
      </c>
      <c r="F22" s="197">
        <f>D22-E22</f>
        <v>58402</v>
      </c>
      <c r="G22" s="195">
        <f aca="true" t="shared" si="22" ref="G22:L22">SUM(G15:G21)</f>
        <v>116513</v>
      </c>
      <c r="H22" s="196">
        <f t="shared" si="22"/>
        <v>59229</v>
      </c>
      <c r="I22" s="197">
        <f t="shared" si="22"/>
        <v>57284</v>
      </c>
      <c r="J22" s="195">
        <f t="shared" si="22"/>
        <v>114404</v>
      </c>
      <c r="K22" s="196">
        <f t="shared" si="22"/>
        <v>58137</v>
      </c>
      <c r="L22" s="197">
        <f t="shared" si="22"/>
        <v>56267</v>
      </c>
      <c r="M22" s="181">
        <f aca="true" t="shared" si="23" ref="M22:R22">SUM(M15:M21)</f>
        <v>114007</v>
      </c>
      <c r="N22" s="196">
        <f t="shared" si="23"/>
        <v>58128</v>
      </c>
      <c r="O22" s="197">
        <f t="shared" si="23"/>
        <v>55879</v>
      </c>
      <c r="P22" s="181">
        <f t="shared" si="23"/>
        <v>112884</v>
      </c>
      <c r="Q22" s="196">
        <f t="shared" si="23"/>
        <v>57369</v>
      </c>
      <c r="R22" s="197">
        <f t="shared" si="23"/>
        <v>55515</v>
      </c>
      <c r="S22" s="181">
        <f>SUM(S15:S21)</f>
        <v>112244</v>
      </c>
      <c r="T22" s="196">
        <f>SUM(T15:T21)</f>
        <v>57032</v>
      </c>
      <c r="U22" s="197">
        <f>SUM(U15:U21)</f>
        <v>55212</v>
      </c>
    </row>
    <row r="23" spans="1:21" s="184" customFormat="1" ht="21.75" customHeight="1">
      <c r="A23" s="203" t="s">
        <v>45</v>
      </c>
      <c r="B23" s="201"/>
      <c r="C23" s="201"/>
      <c r="D23" s="204"/>
      <c r="E23" s="204"/>
      <c r="F23" s="204"/>
      <c r="G23" s="204"/>
      <c r="H23" s="204"/>
      <c r="I23" s="204"/>
      <c r="J23" s="201"/>
      <c r="L23" s="201"/>
      <c r="M23" s="201"/>
      <c r="O23" s="205"/>
      <c r="P23" s="201"/>
      <c r="R23" s="205"/>
      <c r="S23" s="201"/>
      <c r="U23" s="205"/>
    </row>
    <row r="24" spans="1:21" s="184" customFormat="1" ht="25.5" customHeight="1">
      <c r="A24" s="178" t="s">
        <v>97</v>
      </c>
      <c r="B24" s="179" t="s">
        <v>83</v>
      </c>
      <c r="C24" s="180"/>
      <c r="D24" s="181">
        <f aca="true" t="shared" si="24" ref="D24:I24">D6-D15</f>
        <v>825</v>
      </c>
      <c r="E24" s="182">
        <f t="shared" si="24"/>
        <v>419</v>
      </c>
      <c r="F24" s="183">
        <f t="shared" si="24"/>
        <v>406</v>
      </c>
      <c r="G24" s="181">
        <f t="shared" si="24"/>
        <v>843</v>
      </c>
      <c r="H24" s="182">
        <f t="shared" si="24"/>
        <v>431</v>
      </c>
      <c r="I24" s="183">
        <f t="shared" si="24"/>
        <v>412</v>
      </c>
      <c r="J24" s="181">
        <f aca="true" t="shared" si="25" ref="J24:J30">K24+L24</f>
        <v>828</v>
      </c>
      <c r="K24" s="182">
        <v>429</v>
      </c>
      <c r="L24" s="183">
        <v>399</v>
      </c>
      <c r="M24" s="188">
        <f aca="true" t="shared" si="26" ref="M24:M30">N24+O24</f>
        <v>847</v>
      </c>
      <c r="N24" s="182">
        <v>413</v>
      </c>
      <c r="O24" s="183">
        <v>434</v>
      </c>
      <c r="P24" s="188">
        <f aca="true" t="shared" si="27" ref="P24:P30">Q24+R24</f>
        <v>813</v>
      </c>
      <c r="Q24" s="182">
        <v>424</v>
      </c>
      <c r="R24" s="183">
        <v>389</v>
      </c>
      <c r="S24" s="188">
        <f aca="true" t="shared" si="28" ref="S24:S30">T24+U24</f>
        <v>896</v>
      </c>
      <c r="T24" s="182">
        <v>448</v>
      </c>
      <c r="U24" s="183">
        <v>448</v>
      </c>
    </row>
    <row r="25" spans="1:21" s="184" customFormat="1" ht="25.5" customHeight="1">
      <c r="A25" s="185"/>
      <c r="B25" s="186" t="s">
        <v>84</v>
      </c>
      <c r="C25" s="187"/>
      <c r="D25" s="188">
        <f aca="true" t="shared" si="29" ref="D25:I31">D7-D16</f>
        <v>716</v>
      </c>
      <c r="E25" s="189">
        <f t="shared" si="29"/>
        <v>366</v>
      </c>
      <c r="F25" s="190">
        <f t="shared" si="29"/>
        <v>350</v>
      </c>
      <c r="G25" s="188">
        <f t="shared" si="29"/>
        <v>827</v>
      </c>
      <c r="H25" s="189">
        <f t="shared" si="29"/>
        <v>430</v>
      </c>
      <c r="I25" s="190">
        <f t="shared" si="29"/>
        <v>397</v>
      </c>
      <c r="J25" s="188">
        <f t="shared" si="25"/>
        <v>832</v>
      </c>
      <c r="K25" s="189">
        <v>423</v>
      </c>
      <c r="L25" s="190">
        <v>409</v>
      </c>
      <c r="M25" s="188">
        <f t="shared" si="26"/>
        <v>815</v>
      </c>
      <c r="N25" s="189">
        <v>412</v>
      </c>
      <c r="O25" s="190">
        <v>403</v>
      </c>
      <c r="P25" s="188">
        <f t="shared" si="27"/>
        <v>846</v>
      </c>
      <c r="Q25" s="189">
        <v>417</v>
      </c>
      <c r="R25" s="190">
        <v>429</v>
      </c>
      <c r="S25" s="188">
        <f t="shared" si="28"/>
        <v>818</v>
      </c>
      <c r="T25" s="189">
        <v>415</v>
      </c>
      <c r="U25" s="190">
        <v>403</v>
      </c>
    </row>
    <row r="26" spans="1:21" s="184" customFormat="1" ht="25.5" customHeight="1">
      <c r="A26" s="185"/>
      <c r="B26" s="186" t="s">
        <v>85</v>
      </c>
      <c r="C26" s="187"/>
      <c r="D26" s="188">
        <f aca="true" t="shared" si="30" ref="D26:F31">D8-D17</f>
        <v>734</v>
      </c>
      <c r="E26" s="189">
        <f t="shared" si="30"/>
        <v>369</v>
      </c>
      <c r="F26" s="190">
        <f t="shared" si="30"/>
        <v>365</v>
      </c>
      <c r="G26" s="188">
        <f t="shared" si="29"/>
        <v>712</v>
      </c>
      <c r="H26" s="189">
        <f t="shared" si="29"/>
        <v>363</v>
      </c>
      <c r="I26" s="190">
        <f t="shared" si="29"/>
        <v>349</v>
      </c>
      <c r="J26" s="188">
        <f t="shared" si="25"/>
        <v>823</v>
      </c>
      <c r="K26" s="189">
        <v>421</v>
      </c>
      <c r="L26" s="190">
        <v>402</v>
      </c>
      <c r="M26" s="188">
        <f t="shared" si="26"/>
        <v>824</v>
      </c>
      <c r="N26" s="189">
        <v>419</v>
      </c>
      <c r="O26" s="190">
        <v>405</v>
      </c>
      <c r="P26" s="188">
        <f t="shared" si="27"/>
        <v>806</v>
      </c>
      <c r="Q26" s="189">
        <v>403</v>
      </c>
      <c r="R26" s="190">
        <v>403</v>
      </c>
      <c r="S26" s="188">
        <f t="shared" si="28"/>
        <v>840</v>
      </c>
      <c r="T26" s="189">
        <v>419</v>
      </c>
      <c r="U26" s="190">
        <v>421</v>
      </c>
    </row>
    <row r="27" spans="1:21" s="184" customFormat="1" ht="25.5" customHeight="1">
      <c r="A27" s="185"/>
      <c r="B27" s="186" t="s">
        <v>86</v>
      </c>
      <c r="C27" s="187"/>
      <c r="D27" s="188">
        <f t="shared" si="30"/>
        <v>730</v>
      </c>
      <c r="E27" s="189">
        <f t="shared" si="30"/>
        <v>340</v>
      </c>
      <c r="F27" s="190">
        <f t="shared" si="30"/>
        <v>390</v>
      </c>
      <c r="G27" s="188">
        <f t="shared" si="29"/>
        <v>737</v>
      </c>
      <c r="H27" s="189">
        <f t="shared" si="29"/>
        <v>372</v>
      </c>
      <c r="I27" s="190">
        <f t="shared" si="29"/>
        <v>365</v>
      </c>
      <c r="J27" s="188">
        <f t="shared" si="25"/>
        <v>703</v>
      </c>
      <c r="K27" s="189">
        <v>368</v>
      </c>
      <c r="L27" s="190">
        <v>335</v>
      </c>
      <c r="M27" s="188">
        <f t="shared" si="26"/>
        <v>807</v>
      </c>
      <c r="N27" s="189">
        <v>415</v>
      </c>
      <c r="O27" s="190">
        <v>392</v>
      </c>
      <c r="P27" s="188">
        <f t="shared" si="27"/>
        <v>823</v>
      </c>
      <c r="Q27" s="189">
        <v>421</v>
      </c>
      <c r="R27" s="190">
        <v>402</v>
      </c>
      <c r="S27" s="188">
        <f t="shared" si="28"/>
        <v>815</v>
      </c>
      <c r="T27" s="189">
        <v>403</v>
      </c>
      <c r="U27" s="190">
        <v>412</v>
      </c>
    </row>
    <row r="28" spans="1:21" s="184" customFormat="1" ht="25.5" customHeight="1">
      <c r="A28" s="185"/>
      <c r="B28" s="186" t="s">
        <v>87</v>
      </c>
      <c r="C28" s="187"/>
      <c r="D28" s="188">
        <f t="shared" si="30"/>
        <v>751</v>
      </c>
      <c r="E28" s="189">
        <f t="shared" si="30"/>
        <v>363</v>
      </c>
      <c r="F28" s="190">
        <f t="shared" si="30"/>
        <v>388</v>
      </c>
      <c r="G28" s="188">
        <f t="shared" si="29"/>
        <v>724</v>
      </c>
      <c r="H28" s="189">
        <f t="shared" si="29"/>
        <v>339</v>
      </c>
      <c r="I28" s="190">
        <f t="shared" si="29"/>
        <v>385</v>
      </c>
      <c r="J28" s="188">
        <f t="shared" si="25"/>
        <v>735</v>
      </c>
      <c r="K28" s="189">
        <v>366</v>
      </c>
      <c r="L28" s="190">
        <v>369</v>
      </c>
      <c r="M28" s="188">
        <f t="shared" si="26"/>
        <v>699</v>
      </c>
      <c r="N28" s="189">
        <v>362</v>
      </c>
      <c r="O28" s="190">
        <v>337</v>
      </c>
      <c r="P28" s="188">
        <f t="shared" si="27"/>
        <v>800</v>
      </c>
      <c r="Q28" s="189">
        <v>409</v>
      </c>
      <c r="R28" s="190">
        <v>391</v>
      </c>
      <c r="S28" s="188">
        <f t="shared" si="28"/>
        <v>815</v>
      </c>
      <c r="T28" s="189">
        <v>417</v>
      </c>
      <c r="U28" s="190">
        <v>398</v>
      </c>
    </row>
    <row r="29" spans="1:21" s="184" customFormat="1" ht="25.5" customHeight="1">
      <c r="A29" s="185"/>
      <c r="B29" s="186" t="s">
        <v>88</v>
      </c>
      <c r="C29" s="187"/>
      <c r="D29" s="188">
        <f t="shared" si="30"/>
        <v>796</v>
      </c>
      <c r="E29" s="189">
        <f t="shared" si="30"/>
        <v>393</v>
      </c>
      <c r="F29" s="190">
        <f t="shared" si="30"/>
        <v>403</v>
      </c>
      <c r="G29" s="188">
        <f t="shared" si="29"/>
        <v>754</v>
      </c>
      <c r="H29" s="189">
        <f t="shared" si="29"/>
        <v>360</v>
      </c>
      <c r="I29" s="190">
        <f t="shared" si="29"/>
        <v>394</v>
      </c>
      <c r="J29" s="188">
        <f t="shared" si="25"/>
        <v>721</v>
      </c>
      <c r="K29" s="189">
        <v>340</v>
      </c>
      <c r="L29" s="190">
        <v>381</v>
      </c>
      <c r="M29" s="188">
        <f t="shared" si="26"/>
        <v>723</v>
      </c>
      <c r="N29" s="189">
        <v>370</v>
      </c>
      <c r="O29" s="190">
        <v>353</v>
      </c>
      <c r="P29" s="188">
        <f t="shared" si="27"/>
        <v>694</v>
      </c>
      <c r="Q29" s="189">
        <v>347</v>
      </c>
      <c r="R29" s="190">
        <v>347</v>
      </c>
      <c r="S29" s="188">
        <f t="shared" si="28"/>
        <v>783</v>
      </c>
      <c r="T29" s="189">
        <v>397</v>
      </c>
      <c r="U29" s="190">
        <v>386</v>
      </c>
    </row>
    <row r="30" spans="1:21" s="184" customFormat="1" ht="25.5" customHeight="1">
      <c r="A30" s="185"/>
      <c r="B30" s="186" t="s">
        <v>88</v>
      </c>
      <c r="C30" s="191" t="s">
        <v>98</v>
      </c>
      <c r="D30" s="188">
        <f t="shared" si="30"/>
        <v>273</v>
      </c>
      <c r="E30" s="189">
        <f t="shared" si="30"/>
        <v>144</v>
      </c>
      <c r="F30" s="190">
        <f t="shared" si="30"/>
        <v>129</v>
      </c>
      <c r="G30" s="188">
        <f t="shared" si="29"/>
        <v>277</v>
      </c>
      <c r="H30" s="189">
        <f t="shared" si="29"/>
        <v>163</v>
      </c>
      <c r="I30" s="190">
        <f t="shared" si="29"/>
        <v>114</v>
      </c>
      <c r="J30" s="188">
        <f t="shared" si="25"/>
        <v>264</v>
      </c>
      <c r="K30" s="189">
        <v>157</v>
      </c>
      <c r="L30" s="190">
        <v>107</v>
      </c>
      <c r="M30" s="188">
        <f t="shared" si="26"/>
        <v>300</v>
      </c>
      <c r="N30" s="189">
        <v>174</v>
      </c>
      <c r="O30" s="190">
        <v>126</v>
      </c>
      <c r="P30" s="188">
        <f t="shared" si="27"/>
        <v>256</v>
      </c>
      <c r="Q30" s="189">
        <v>158</v>
      </c>
      <c r="R30" s="190">
        <v>98</v>
      </c>
      <c r="S30" s="188">
        <f t="shared" si="28"/>
        <v>216</v>
      </c>
      <c r="T30" s="189">
        <v>142</v>
      </c>
      <c r="U30" s="190">
        <v>74</v>
      </c>
    </row>
    <row r="31" spans="1:21" s="184" customFormat="1" ht="25.5" customHeight="1">
      <c r="A31" s="192" t="s">
        <v>5</v>
      </c>
      <c r="B31" s="193"/>
      <c r="C31" s="206"/>
      <c r="D31" s="195">
        <f t="shared" si="30"/>
        <v>4825</v>
      </c>
      <c r="E31" s="196">
        <f t="shared" si="30"/>
        <v>2394</v>
      </c>
      <c r="F31" s="197">
        <f t="shared" si="30"/>
        <v>2431</v>
      </c>
      <c r="G31" s="195">
        <f t="shared" si="29"/>
        <v>4874</v>
      </c>
      <c r="H31" s="196">
        <f t="shared" si="29"/>
        <v>2458</v>
      </c>
      <c r="I31" s="197">
        <f t="shared" si="29"/>
        <v>2416</v>
      </c>
      <c r="J31" s="195">
        <f aca="true" t="shared" si="31" ref="J31:O31">SUM(J24:J30)</f>
        <v>4906</v>
      </c>
      <c r="K31" s="196">
        <f t="shared" si="31"/>
        <v>2504</v>
      </c>
      <c r="L31" s="197">
        <f t="shared" si="31"/>
        <v>2402</v>
      </c>
      <c r="M31" s="195">
        <f t="shared" si="31"/>
        <v>5015</v>
      </c>
      <c r="N31" s="196">
        <f t="shared" si="31"/>
        <v>2565</v>
      </c>
      <c r="O31" s="197">
        <f t="shared" si="31"/>
        <v>2450</v>
      </c>
      <c r="P31" s="195">
        <f aca="true" t="shared" si="32" ref="P31:U31">SUM(P24:P30)</f>
        <v>5038</v>
      </c>
      <c r="Q31" s="196">
        <f t="shared" si="32"/>
        <v>2579</v>
      </c>
      <c r="R31" s="197">
        <f t="shared" si="32"/>
        <v>2459</v>
      </c>
      <c r="S31" s="195">
        <f t="shared" si="32"/>
        <v>5183</v>
      </c>
      <c r="T31" s="196">
        <f t="shared" si="32"/>
        <v>2641</v>
      </c>
      <c r="U31" s="197">
        <f t="shared" si="32"/>
        <v>2542</v>
      </c>
    </row>
    <row r="32" ht="21.75" customHeight="1">
      <c r="B32" s="169" t="s">
        <v>99</v>
      </c>
    </row>
  </sheetData>
  <sheetProtection/>
  <mergeCells count="7">
    <mergeCell ref="S3:U3"/>
    <mergeCell ref="M3:O3"/>
    <mergeCell ref="A3:C4"/>
    <mergeCell ref="G3:I3"/>
    <mergeCell ref="J3:L3"/>
    <mergeCell ref="D3:F3"/>
    <mergeCell ref="P3:R3"/>
  </mergeCells>
  <printOptions/>
  <pageMargins left="0.68" right="0.21" top="0.75" bottom="0.23" header="0.5" footer="0.19"/>
  <pageSetup horizontalDpi="600" verticalDpi="600" orientation="portrait" paperSize="9" r:id="rId1"/>
  <headerFooter alignWithMargins="0">
    <oddHeader>&amp;C&amp;"Times New Roman,Regular"&amp;11- 14 -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 of Education</dc:creator>
  <cp:keywords/>
  <dc:description/>
  <cp:lastModifiedBy>M.O.E</cp:lastModifiedBy>
  <cp:lastPrinted>2010-09-20T10:19:26Z</cp:lastPrinted>
  <dcterms:created xsi:type="dcterms:W3CDTF">2007-09-10T05:31:42Z</dcterms:created>
  <dcterms:modified xsi:type="dcterms:W3CDTF">2010-09-20T10:21:03Z</dcterms:modified>
  <cp:category/>
  <cp:version/>
  <cp:contentType/>
  <cp:contentStatus/>
</cp:coreProperties>
</file>