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6390" tabRatio="604" activeTab="5"/>
  </bookViews>
  <sheets>
    <sheet name="TAB1-1" sheetId="1" r:id="rId1"/>
    <sheet name="Tab1-2" sheetId="2" r:id="rId2"/>
    <sheet name="TAB1-3" sheetId="3" r:id="rId3"/>
    <sheet name="TAB1-4 " sheetId="4" r:id="rId4"/>
    <sheet name="TAB1-5" sheetId="5" r:id="rId5"/>
    <sheet name="TAB1-6" sheetId="6" r:id="rId6"/>
    <sheet name="Tab1-7 " sheetId="7" r:id="rId7"/>
    <sheet name="TAB1-8 " sheetId="8" r:id="rId8"/>
    <sheet name="Tab-1.9" sheetId="9" r:id="rId9"/>
    <sheet name="Tab-1.10" sheetId="10" r:id="rId10"/>
    <sheet name="Tab-1.11" sheetId="11" r:id="rId11"/>
    <sheet name="Tab-1.12" sheetId="12" r:id="rId12"/>
    <sheet name="Tab-1.13" sheetId="13" r:id="rId13"/>
  </sheets>
  <definedNames>
    <definedName name="_xlnm.Print_Area" localSheetId="0">'TAB1-1'!$A$1:$O$26</definedName>
  </definedNames>
  <calcPr calcMode="manual" fullCalcOnLoad="1"/>
</workbook>
</file>

<file path=xl/sharedStrings.xml><?xml version="1.0" encoding="utf-8"?>
<sst xmlns="http://schemas.openxmlformats.org/spreadsheetml/2006/main" count="467" uniqueCount="236">
  <si>
    <t>No. of enterprises</t>
  </si>
  <si>
    <t>Net  change from</t>
  </si>
  <si>
    <t>Product group</t>
  </si>
  <si>
    <t xml:space="preserve">   1.   Food</t>
  </si>
  <si>
    <t xml:space="preserve">   2.   Flowers</t>
  </si>
  <si>
    <t xml:space="preserve">   3.   Textile yarn and fabrics</t>
  </si>
  <si>
    <t xml:space="preserve">   4.   Wearing apparel :</t>
  </si>
  <si>
    <t xml:space="preserve">                                  Pullovers</t>
  </si>
  <si>
    <t xml:space="preserve">                                  Other garments </t>
  </si>
  <si>
    <t xml:space="preserve">   5.   Leather products and footwear</t>
  </si>
  <si>
    <t xml:space="preserve">   6.   Wood and paper products</t>
  </si>
  <si>
    <t xml:space="preserve">   7.   Optical goods</t>
  </si>
  <si>
    <t xml:space="preserve">   8.   Electronic  watches and clocks</t>
  </si>
  <si>
    <t xml:space="preserve">   9.   Electric and electronic products</t>
  </si>
  <si>
    <t xml:space="preserve"> 10.   Jewellery and related articles</t>
  </si>
  <si>
    <t xml:space="preserve"> 11.   Toys and carnival articles   </t>
  </si>
  <si>
    <t xml:space="preserve"> 12.   Other</t>
  </si>
  <si>
    <t xml:space="preserve"> TOTAL</t>
  </si>
  <si>
    <t xml:space="preserve"> </t>
  </si>
  <si>
    <t xml:space="preserve"> 1. No of enterprises as at December </t>
  </si>
  <si>
    <t xml:space="preserve"> - New</t>
  </si>
  <si>
    <t xml:space="preserve"> - Closures</t>
  </si>
  <si>
    <t xml:space="preserve"> 2. Employment as at December        </t>
  </si>
  <si>
    <t xml:space="preserve"> - Net change</t>
  </si>
  <si>
    <t xml:space="preserve"> - Growth rate (%)</t>
  </si>
  <si>
    <t xml:space="preserve"> 3.  Exports (f.o.b, Rs Million)</t>
  </si>
  <si>
    <t xml:space="preserve"> 4.  Imports (c.i.f, Rs Million) :</t>
  </si>
  <si>
    <t xml:space="preserve"> - Raw materials</t>
  </si>
  <si>
    <t xml:space="preserve"> - Machinery &amp; spare parts</t>
  </si>
  <si>
    <t xml:space="preserve"> 5.  Net Exports (Rs Million)</t>
  </si>
  <si>
    <t xml:space="preserve"> 6.  Net Exports to Exports (%)</t>
  </si>
  <si>
    <t xml:space="preserve"> - Share in Manufacturing(%)</t>
  </si>
  <si>
    <t xml:space="preserve"> - Share in GDP(%)</t>
  </si>
  <si>
    <t xml:space="preserve">9. Investment (Rs Million)        </t>
  </si>
  <si>
    <t xml:space="preserve"> - Machinery</t>
  </si>
  <si>
    <t>Product  group</t>
  </si>
  <si>
    <t>New projects</t>
  </si>
  <si>
    <t>Closures</t>
  </si>
  <si>
    <t>Enterprise</t>
  </si>
  <si>
    <t>Employment</t>
  </si>
  <si>
    <t>_</t>
  </si>
  <si>
    <t xml:space="preserve">                                    Pullovers</t>
  </si>
  <si>
    <t xml:space="preserve">                                    Other garments </t>
  </si>
  <si>
    <t>.</t>
  </si>
  <si>
    <t>Category</t>
  </si>
  <si>
    <t>Number as at</t>
  </si>
  <si>
    <t>Male</t>
  </si>
  <si>
    <t>Female</t>
  </si>
  <si>
    <t>Total</t>
  </si>
  <si>
    <t>Enterprises with less than 10 employees</t>
  </si>
  <si>
    <t>Outworkers</t>
  </si>
  <si>
    <t>T O T A L</t>
  </si>
  <si>
    <t>of which, expatriates</t>
  </si>
  <si>
    <t>Enterprises</t>
  </si>
  <si>
    <t>A.  Total employment creation :</t>
  </si>
  <si>
    <t>New enterprises</t>
  </si>
  <si>
    <t>C.  Net change (A-B)</t>
  </si>
  <si>
    <r>
      <t>Expansion in existing  enterprises</t>
    </r>
    <r>
      <rPr>
        <vertAlign val="superscript"/>
        <sz val="10"/>
        <rFont val="Times New Roman"/>
        <family val="1"/>
      </rPr>
      <t>1</t>
    </r>
  </si>
  <si>
    <r>
      <t>Reduction in existing enterprises</t>
    </r>
    <r>
      <rPr>
        <vertAlign val="superscript"/>
        <sz val="10"/>
        <rFont val="Times New Roman"/>
        <family val="1"/>
      </rPr>
      <t>1</t>
    </r>
  </si>
  <si>
    <t>No of</t>
  </si>
  <si>
    <t xml:space="preserve">                                     Pullovers</t>
  </si>
  <si>
    <t>Sept. 98 to Sept. 99</t>
  </si>
  <si>
    <t>10.   Jewellery and related articles</t>
  </si>
  <si>
    <t xml:space="preserve">11.   Toys and carnival articles   </t>
  </si>
  <si>
    <t>12.   Other</t>
  </si>
  <si>
    <t>…</t>
  </si>
  <si>
    <t>Enterprises with 10 or more employees</t>
  </si>
  <si>
    <t>Employment (end of period)</t>
  </si>
  <si>
    <r>
      <t>¹</t>
    </r>
    <r>
      <rPr>
        <sz val="10"/>
        <rFont val="Times New Roman"/>
        <family val="1"/>
      </rPr>
      <t xml:space="preserve">  revised</t>
    </r>
  </si>
  <si>
    <r>
      <t>²</t>
    </r>
    <r>
      <rPr>
        <sz val="10"/>
        <rFont val="Times New Roman"/>
        <family val="1"/>
      </rPr>
      <t xml:space="preserve">  provisional</t>
    </r>
  </si>
  <si>
    <r>
      <t xml:space="preserve">1 </t>
    </r>
    <r>
      <rPr>
        <sz val="10"/>
        <rFont val="Times New Roman"/>
        <family val="1"/>
      </rPr>
      <t>No. of enterprises relates to those reporting expansion/reduction in their workforce by more than 25 while employment is total expansion/reduction</t>
    </r>
  </si>
  <si>
    <t xml:space="preserve">8.  Annual Growth rate of Value added (%)  </t>
  </si>
  <si>
    <r>
      <t xml:space="preserve"> 7.  Value added</t>
    </r>
    <r>
      <rPr>
        <b/>
        <vertAlign val="superscript"/>
        <sz val="10"/>
        <rFont val="Times New Roman"/>
        <family val="1"/>
      </rPr>
      <t xml:space="preserve"> ¹ </t>
    </r>
    <r>
      <rPr>
        <b/>
        <sz val="10"/>
        <rFont val="Times New Roman"/>
        <family val="1"/>
      </rPr>
      <t>at  basic prices (Rs Million)</t>
    </r>
  </si>
  <si>
    <t>B.   Total employment loss :</t>
  </si>
  <si>
    <t>* EOE consist of all those enterprises, previously operating with an EPZ certificate, and those enterprises manufacturing goods for exports and holding a registration certificate issued by the Board of Investment.</t>
  </si>
  <si>
    <t xml:space="preserve"> March 2008</t>
  </si>
  <si>
    <t xml:space="preserve"> Mar.08</t>
  </si>
  <si>
    <t>Value :Million Rupees</t>
  </si>
  <si>
    <t xml:space="preserve">1st Qr  </t>
  </si>
  <si>
    <t xml:space="preserve">2nd Qr </t>
  </si>
  <si>
    <t xml:space="preserve">3rd Qr </t>
  </si>
  <si>
    <t xml:space="preserve">4th Qr </t>
  </si>
  <si>
    <t>A. Total exports ( f.o.b )</t>
  </si>
  <si>
    <t>B. Total imports ( c.i.f )</t>
  </si>
  <si>
    <t xml:space="preserve">     Raw materials</t>
  </si>
  <si>
    <t xml:space="preserve">    Machinery</t>
  </si>
  <si>
    <t xml:space="preserve">  Net Exports (A - B)</t>
  </si>
  <si>
    <t xml:space="preserve">  Net Exports as % of total exports</t>
  </si>
  <si>
    <t>Value (f.o.b) : Million Rupees</t>
  </si>
  <si>
    <t>SITC section/description</t>
  </si>
  <si>
    <t>Total EOE Exports</t>
  </si>
  <si>
    <t xml:space="preserve"> 0 - Food and live animals</t>
  </si>
  <si>
    <t xml:space="preserve">     of  which :</t>
  </si>
  <si>
    <t xml:space="preserve"> 2 - Crude materials, inedible, except fuels</t>
  </si>
  <si>
    <t xml:space="preserve"> 5 - Chemicals and related products, n.e.s</t>
  </si>
  <si>
    <t xml:space="preserve"> 6 - Manufactured goods classified chiefly by material </t>
  </si>
  <si>
    <t xml:space="preserve"> 7 - Machinery and transport equipment </t>
  </si>
  <si>
    <t xml:space="preserve"> 8 - Miscellaneous manufactured articles </t>
  </si>
  <si>
    <t xml:space="preserve"> Other sections</t>
  </si>
  <si>
    <t>Value (c.i.f) : Million Rupees</t>
  </si>
  <si>
    <t>2nd Qr</t>
  </si>
  <si>
    <t>3rd Qr</t>
  </si>
  <si>
    <t>4th Qr</t>
  </si>
  <si>
    <t>Total EOE Imports</t>
  </si>
  <si>
    <t xml:space="preserve">  0 - Food and live animals</t>
  </si>
  <si>
    <t xml:space="preserve">  2 - Crude materials, inedible, except fuels</t>
  </si>
  <si>
    <t xml:space="preserve">       of  which :</t>
  </si>
  <si>
    <t xml:space="preserve">          Synthetic fibres suitable for spinning </t>
  </si>
  <si>
    <t xml:space="preserve">          Wool and other animal hair </t>
  </si>
  <si>
    <t xml:space="preserve">  3 - Mineral fuels, lubricants and related products</t>
  </si>
  <si>
    <t xml:space="preserve">  5 - Chemicals and related products, n.e.s</t>
  </si>
  <si>
    <t xml:space="preserve">  6 -  Manufactured goods classified chiefly by material </t>
  </si>
  <si>
    <t xml:space="preserve">          Leather  </t>
  </si>
  <si>
    <t xml:space="preserve">  7 -  Machinery &amp; transport equipment</t>
  </si>
  <si>
    <t xml:space="preserve">  8 -  Miscellaneous manufactured articles</t>
  </si>
  <si>
    <t xml:space="preserve">         Optical goods, watches &amp; clocks </t>
  </si>
  <si>
    <t xml:space="preserve">         Jewellery, goldsmiths &amp; silversmiths wares</t>
  </si>
  <si>
    <t>Value (f.o.b): Million Rupees</t>
  </si>
  <si>
    <t>Country of destination</t>
  </si>
  <si>
    <t>Europe</t>
  </si>
  <si>
    <t xml:space="preserve">   Austria</t>
  </si>
  <si>
    <t xml:space="preserve">   Belgium</t>
  </si>
  <si>
    <t xml:space="preserve">   France</t>
  </si>
  <si>
    <t xml:space="preserve">   Germany</t>
  </si>
  <si>
    <t xml:space="preserve">   Italy</t>
  </si>
  <si>
    <t xml:space="preserve">   Netherlands</t>
  </si>
  <si>
    <t xml:space="preserve">   Portugal</t>
  </si>
  <si>
    <t xml:space="preserve">   Spain</t>
  </si>
  <si>
    <t xml:space="preserve">   Switzerland</t>
  </si>
  <si>
    <t xml:space="preserve">   United Kingdom</t>
  </si>
  <si>
    <t xml:space="preserve">   Other </t>
  </si>
  <si>
    <t>Asia</t>
  </si>
  <si>
    <t xml:space="preserve">   China</t>
  </si>
  <si>
    <t xml:space="preserve">   India</t>
  </si>
  <si>
    <t xml:space="preserve">   Japan</t>
  </si>
  <si>
    <t xml:space="preserve">   Other</t>
  </si>
  <si>
    <t>Africa</t>
  </si>
  <si>
    <t xml:space="preserve">   Malagasy, Republic of</t>
  </si>
  <si>
    <t xml:space="preserve">   Reunion</t>
  </si>
  <si>
    <t xml:space="preserve">   South Africa, Republic of</t>
  </si>
  <si>
    <t>America</t>
  </si>
  <si>
    <t xml:space="preserve">   Canada</t>
  </si>
  <si>
    <t xml:space="preserve">   U.S.A</t>
  </si>
  <si>
    <t>Oceania</t>
  </si>
  <si>
    <t xml:space="preserve">   Australia</t>
  </si>
  <si>
    <t xml:space="preserve">   New Zealand</t>
  </si>
  <si>
    <t>Value (c.i.f): Million Rupees</t>
  </si>
  <si>
    <t>Country of origin</t>
  </si>
  <si>
    <t xml:space="preserve">    Belgium</t>
  </si>
  <si>
    <t xml:space="preserve">    France</t>
  </si>
  <si>
    <t xml:space="preserve">    Germany</t>
  </si>
  <si>
    <t xml:space="preserve">    Italy</t>
  </si>
  <si>
    <t xml:space="preserve">    Netherlands</t>
  </si>
  <si>
    <t xml:space="preserve">    Spain</t>
  </si>
  <si>
    <t xml:space="preserve">    Sweden</t>
  </si>
  <si>
    <t xml:space="preserve">    Switzerland</t>
  </si>
  <si>
    <t xml:space="preserve">    United Kingdom</t>
  </si>
  <si>
    <t xml:space="preserve">    Other </t>
  </si>
  <si>
    <t xml:space="preserve">    China</t>
  </si>
  <si>
    <t xml:space="preserve">    India</t>
  </si>
  <si>
    <t xml:space="preserve">    Indonesia</t>
  </si>
  <si>
    <t xml:space="preserve">    Japan</t>
  </si>
  <si>
    <t xml:space="preserve">    Korea, Republic of</t>
  </si>
  <si>
    <t xml:space="preserve">    Malaysia</t>
  </si>
  <si>
    <t xml:space="preserve">    Pakistan</t>
  </si>
  <si>
    <t xml:space="preserve">    Singapore</t>
  </si>
  <si>
    <t xml:space="preserve">    Thailand</t>
  </si>
  <si>
    <t xml:space="preserve">    Burkina Faso</t>
  </si>
  <si>
    <t xml:space="preserve">    Malagasy, Republic of</t>
  </si>
  <si>
    <t xml:space="preserve">    Mali</t>
  </si>
  <si>
    <t xml:space="preserve">    Seychelles</t>
  </si>
  <si>
    <t xml:space="preserve">    South Africa, Republic of</t>
  </si>
  <si>
    <t xml:space="preserve">    Zambia</t>
  </si>
  <si>
    <t xml:space="preserve">    Brazil</t>
  </si>
  <si>
    <t xml:space="preserve">    U.S.A</t>
  </si>
  <si>
    <t xml:space="preserve">    Australia</t>
  </si>
  <si>
    <r>
      <t xml:space="preserve">2008 </t>
    </r>
    <r>
      <rPr>
        <b/>
        <vertAlign val="superscript"/>
        <sz val="11"/>
        <rFont val="CG Times"/>
        <family val="0"/>
      </rPr>
      <t>2</t>
    </r>
  </si>
  <si>
    <r>
      <t>1</t>
    </r>
    <r>
      <rPr>
        <sz val="10"/>
        <rFont val="CG Times"/>
        <family val="1"/>
      </rPr>
      <t xml:space="preserve"> Revised                    </t>
    </r>
    <r>
      <rPr>
        <vertAlign val="superscript"/>
        <sz val="10"/>
        <rFont val="CG Times"/>
        <family val="1"/>
      </rPr>
      <t xml:space="preserve"> 2</t>
    </r>
    <r>
      <rPr>
        <sz val="10"/>
        <rFont val="CG Times"/>
        <family val="1"/>
      </rPr>
      <t xml:space="preserve">  Provisional</t>
    </r>
  </si>
  <si>
    <r>
      <t xml:space="preserve">2008 </t>
    </r>
    <r>
      <rPr>
        <b/>
        <vertAlign val="superscript"/>
        <sz val="10"/>
        <rFont val="Calibri"/>
        <family val="2"/>
      </rPr>
      <t>2</t>
    </r>
  </si>
  <si>
    <r>
      <t>1</t>
    </r>
    <r>
      <rPr>
        <sz val="10"/>
        <rFont val="CG Times"/>
        <family val="1"/>
      </rPr>
      <t xml:space="preserve"> Revised                  </t>
    </r>
    <r>
      <rPr>
        <vertAlign val="superscript"/>
        <sz val="10"/>
        <rFont val="CG Times"/>
        <family val="1"/>
      </rPr>
      <t>2</t>
    </r>
    <r>
      <rPr>
        <sz val="10"/>
        <rFont val="CG Times"/>
        <family val="1"/>
      </rPr>
      <t xml:space="preserve">  Provisional                         </t>
    </r>
  </si>
  <si>
    <r>
      <t xml:space="preserve">1 </t>
    </r>
    <r>
      <rPr>
        <sz val="10"/>
        <rFont val="CG Times (W1)"/>
        <family val="0"/>
      </rPr>
      <t xml:space="preserve">Revised                  </t>
    </r>
    <r>
      <rPr>
        <vertAlign val="superscript"/>
        <sz val="10"/>
        <rFont val="CG Times (W1)"/>
        <family val="0"/>
      </rPr>
      <t>2</t>
    </r>
    <r>
      <rPr>
        <sz val="10"/>
        <rFont val="CG Times (W1)"/>
        <family val="0"/>
      </rPr>
      <t xml:space="preserve">  Provisional</t>
    </r>
    <r>
      <rPr>
        <vertAlign val="superscript"/>
        <sz val="10"/>
        <rFont val="CG Times (W1)"/>
        <family val="0"/>
      </rPr>
      <t xml:space="preserve">      </t>
    </r>
    <r>
      <rPr>
        <sz val="10"/>
        <rFont val="CG Times (W1)"/>
        <family val="0"/>
      </rPr>
      <t xml:space="preserve">      </t>
    </r>
  </si>
  <si>
    <r>
      <t xml:space="preserve">   Hong Kong (S.A.R) </t>
    </r>
    <r>
      <rPr>
        <vertAlign val="superscript"/>
        <sz val="10"/>
        <rFont val="CG Times"/>
        <family val="1"/>
      </rPr>
      <t>3</t>
    </r>
  </si>
  <si>
    <r>
      <t>1</t>
    </r>
    <r>
      <rPr>
        <sz val="10"/>
        <rFont val="CG Times"/>
        <family val="1"/>
      </rPr>
      <t xml:space="preserve"> Revised              </t>
    </r>
    <r>
      <rPr>
        <vertAlign val="superscript"/>
        <sz val="10"/>
        <rFont val="CG Times"/>
        <family val="1"/>
      </rPr>
      <t xml:space="preserve"> 2</t>
    </r>
    <r>
      <rPr>
        <sz val="10"/>
        <rFont val="CG Times"/>
        <family val="1"/>
      </rPr>
      <t xml:space="preserve"> Provisional         </t>
    </r>
    <r>
      <rPr>
        <vertAlign val="superscript"/>
        <sz val="10"/>
        <rFont val="CG Times"/>
        <family val="1"/>
      </rPr>
      <t xml:space="preserve"> 3 </t>
    </r>
    <r>
      <rPr>
        <sz val="10"/>
        <rFont val="CG Times"/>
        <family val="1"/>
      </rPr>
      <t>Special Administrative Region of China</t>
    </r>
  </si>
  <si>
    <r>
      <t xml:space="preserve">    Hong Kong (S.A.R)</t>
    </r>
    <r>
      <rPr>
        <vertAlign val="superscript"/>
        <sz val="10"/>
        <rFont val="CG Times (W1)"/>
        <family val="0"/>
      </rPr>
      <t>3</t>
    </r>
    <r>
      <rPr>
        <sz val="10"/>
        <rFont val="CG Times (W1)"/>
        <family val="0"/>
      </rPr>
      <t xml:space="preserve"> </t>
    </r>
  </si>
  <si>
    <t>Table 1.1:- Main economic indicators: 1996 - 2008, EOE*  Sector</t>
  </si>
  <si>
    <r>
      <t>2007</t>
    </r>
    <r>
      <rPr>
        <b/>
        <u val="single"/>
        <vertAlign val="superscript"/>
        <sz val="10"/>
        <rFont val="Times New Roman"/>
        <family val="1"/>
      </rPr>
      <t xml:space="preserve"> 1</t>
    </r>
  </si>
  <si>
    <r>
      <t>2008</t>
    </r>
    <r>
      <rPr>
        <b/>
        <u val="single"/>
        <vertAlign val="superscript"/>
        <sz val="10"/>
        <rFont val="Times New Roman"/>
        <family val="1"/>
      </rPr>
      <t xml:space="preserve"> 2</t>
    </r>
  </si>
  <si>
    <t>Table 1.2: - Net change in number of enterprises by product group: March 2008 - March 2009, EOE* Sector</t>
  </si>
  <si>
    <t xml:space="preserve"> Mar. 2008</t>
  </si>
  <si>
    <t xml:space="preserve"> Dec. 2008</t>
  </si>
  <si>
    <t>Mar. 2009</t>
  </si>
  <si>
    <t>Dec. 08 to Mar. 09</t>
  </si>
  <si>
    <t>Mar. 08 to Mar. 09</t>
  </si>
  <si>
    <t>Year 2008</t>
  </si>
  <si>
    <t>Table 1.3:- New enterprises and closures,Year 2008 and 1st Quarter 2009, EOE* Sector</t>
  </si>
  <si>
    <t>1st Quarter 2009</t>
  </si>
  <si>
    <t>Table 1.4:- Employment by size and sex: March 2008 - March 2009, EOE* Sector</t>
  </si>
  <si>
    <t>Mar. 08</t>
  </si>
  <si>
    <t xml:space="preserve"> Dec. 08</t>
  </si>
  <si>
    <t xml:space="preserve"> Mar. 09</t>
  </si>
  <si>
    <t xml:space="preserve"> December  08</t>
  </si>
  <si>
    <t xml:space="preserve"> March 2009</t>
  </si>
  <si>
    <t>Table 1.5:- Analysis of net change in EOE* employment, 1st Quarter 2009</t>
  </si>
  <si>
    <t>Evolution 1st quarter 2009</t>
  </si>
  <si>
    <t>Table 1.6:- Employment by product group and sex:  March 2008 - March 2009, EOE* Sector</t>
  </si>
  <si>
    <t>Table 1.7:- Net change in employment by product group: March 2008 -March 2009, EOE* Sector</t>
  </si>
  <si>
    <t xml:space="preserve"> Dec 08</t>
  </si>
  <si>
    <t xml:space="preserve"> Mar.09</t>
  </si>
  <si>
    <t>Mar.08 to Mar. 09</t>
  </si>
  <si>
    <t>Table 1.8:- Expatriate employment by product group and sex:March 2008 - March 2009, EOE* Sector</t>
  </si>
  <si>
    <r>
      <t xml:space="preserve">2007 </t>
    </r>
    <r>
      <rPr>
        <b/>
        <vertAlign val="superscript"/>
        <sz val="11"/>
        <rFont val="CG Times"/>
        <family val="0"/>
      </rPr>
      <t>1</t>
    </r>
  </si>
  <si>
    <r>
      <rPr>
        <b/>
        <sz val="11"/>
        <rFont val="CG Times"/>
        <family val="0"/>
      </rPr>
      <t>2009</t>
    </r>
    <r>
      <rPr>
        <sz val="11"/>
        <rFont val="CG Times"/>
        <family val="1"/>
      </rPr>
      <t xml:space="preserve"> </t>
    </r>
    <r>
      <rPr>
        <b/>
        <vertAlign val="superscript"/>
        <sz val="11"/>
        <rFont val="CG Times"/>
        <family val="0"/>
      </rPr>
      <t>2</t>
    </r>
  </si>
  <si>
    <t>Fish &amp; fish preparations</t>
  </si>
  <si>
    <t>Textile yarn, fabrics, made up articles</t>
  </si>
  <si>
    <t>Pearls, precious  &amp; semi-precious stones</t>
  </si>
  <si>
    <t>Articles of apparel and clothing</t>
  </si>
  <si>
    <t>Optical goods</t>
  </si>
  <si>
    <t>Watches and clocks</t>
  </si>
  <si>
    <t>Toys, games and sporting goods</t>
  </si>
  <si>
    <t>Jewellery, goldsmiths &amp; silversmiths wares</t>
  </si>
  <si>
    <t xml:space="preserve">          Cotton </t>
  </si>
  <si>
    <t xml:space="preserve">          Textile yarn and fabrics </t>
  </si>
  <si>
    <t xml:space="preserve">          Pearls, precious and semi-precious stones </t>
  </si>
  <si>
    <t xml:space="preserve">   Sri Lanka</t>
  </si>
  <si>
    <t xml:space="preserve">   Seychelles</t>
  </si>
  <si>
    <t xml:space="preserve">   Panama</t>
  </si>
  <si>
    <r>
      <t xml:space="preserve">2007 </t>
    </r>
    <r>
      <rPr>
        <b/>
        <vertAlign val="superscript"/>
        <sz val="10"/>
        <rFont val="CG Times (W1)"/>
        <family val="0"/>
      </rPr>
      <t>1</t>
    </r>
  </si>
  <si>
    <r>
      <t xml:space="preserve">2008 </t>
    </r>
    <r>
      <rPr>
        <b/>
        <vertAlign val="superscript"/>
        <sz val="10"/>
        <rFont val="CG Times (W1)"/>
        <family val="0"/>
      </rPr>
      <t>2</t>
    </r>
  </si>
  <si>
    <r>
      <rPr>
        <b/>
        <sz val="10"/>
        <rFont val="CG Times"/>
        <family val="0"/>
      </rPr>
      <t>2009</t>
    </r>
    <r>
      <rPr>
        <sz val="10"/>
        <rFont val="CG Times"/>
        <family val="0"/>
      </rPr>
      <t xml:space="preserve"> </t>
    </r>
    <r>
      <rPr>
        <b/>
        <vertAlign val="superscript"/>
        <sz val="10"/>
        <rFont val="CG Times"/>
        <family val="0"/>
      </rPr>
      <t>2</t>
    </r>
  </si>
  <si>
    <r>
      <t xml:space="preserve">2007 </t>
    </r>
    <r>
      <rPr>
        <b/>
        <vertAlign val="superscript"/>
        <sz val="10"/>
        <rFont val="CG Times"/>
        <family val="1"/>
      </rPr>
      <t>1</t>
    </r>
  </si>
  <si>
    <r>
      <t xml:space="preserve">2008 </t>
    </r>
    <r>
      <rPr>
        <b/>
        <vertAlign val="superscript"/>
        <sz val="10"/>
        <rFont val="CG Times"/>
        <family val="1"/>
      </rPr>
      <t>2</t>
    </r>
  </si>
  <si>
    <t>Table 1.9  - Net EOE* exports, 2007 - 2009</t>
  </si>
  <si>
    <t>Table 1.10 - EOE* exports of selected commodities by section, 2007 - 2009</t>
  </si>
  <si>
    <t>Table 1.11 - EOE* imports of selected commodities by section, 2007 - 2009</t>
  </si>
  <si>
    <t>Table 1.12 - EOE* exports by country of destination, 2007 - 2009</t>
  </si>
  <si>
    <t>Table 1.13 - EOE* imports by  country of origin, 2007 - 2009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</si>
</sst>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\ \ \ "/>
    <numFmt numFmtId="173" formatCode="\(#,##0\)\ \ \ \ "/>
    <numFmt numFmtId="174" formatCode="\(#,##0\)"/>
    <numFmt numFmtId="175" formatCode="\(\-#,##0\)"/>
    <numFmt numFmtId="176" formatCode="#,##0\ "/>
    <numFmt numFmtId="177" formatCode="#,##0\ \ "/>
    <numFmt numFmtId="178" formatCode="General\ \ \ \ \ \ \ \ \ \ \ \ \ \ \ \ \ \ \ \ \ \ \ \ \ \ \ \ \ \ \ \ \ \ \ \ \ \ \ \ \ \ \ \ \ \ \ \ \ \ \ \ "/>
    <numFmt numFmtId="179" formatCode="\+#,##0\ \ "/>
    <numFmt numFmtId="180" formatCode="0.0\ \ "/>
    <numFmt numFmtId="181" formatCode="\(General\)\ \ "/>
    <numFmt numFmtId="182" formatCode="\+0.0\ \ "/>
    <numFmt numFmtId="183" formatCode="#,##0\ \ \ "/>
    <numFmt numFmtId="184" formatCode="\(#,##0\)\ \ "/>
    <numFmt numFmtId="185" formatCode="\+#,##0\ "/>
    <numFmt numFmtId="186" formatCode="\(#,##0\)\ \ \ \ \ \ "/>
    <numFmt numFmtId="187" formatCode="#,##0\ \ \ \ \ \ \ "/>
    <numFmt numFmtId="188" formatCode="\(#,##0\)\ \ \ \ \ \ \ "/>
    <numFmt numFmtId="189" formatCode="#,##0\ \ \ \ \ \ "/>
    <numFmt numFmtId="190" formatCode="\(#,##0\)\ \ \ "/>
    <numFmt numFmtId="191" formatCode="\(#,##0\)\ "/>
    <numFmt numFmtId="192" formatCode="#,##0\ \ \ \ \ \ \ \ \ "/>
    <numFmt numFmtId="193" formatCode="mmmm\ yyyy"/>
    <numFmt numFmtId="194" formatCode="0."/>
    <numFmt numFmtId="195" formatCode="\(0\)"/>
    <numFmt numFmtId="196" formatCode="\-0.0\ \ \ "/>
    <numFmt numFmtId="197" formatCode="\-#,##0\ \ \ "/>
    <numFmt numFmtId="198" formatCode="0\ \ "/>
    <numFmt numFmtId="199" formatCode="\(#,##0\)\ \ \ \ \ \ \ \ \ "/>
    <numFmt numFmtId="200" formatCode="\ \ \ \-\ \ "/>
    <numFmt numFmtId="201" formatCode="\ \ \ \-\ \ \ \ "/>
    <numFmt numFmtId="202" formatCode="\ \ \ \ \-\ \ "/>
    <numFmt numFmtId="203" formatCode="\+#,##0.0\ \ "/>
    <numFmt numFmtId="204" formatCode="\ \ \ \ \ \ \-\ \ "/>
    <numFmt numFmtId="205" formatCode="\ \ \ \-\ \ \ "/>
    <numFmt numFmtId="206" formatCode="General\ \ "/>
    <numFmt numFmtId="207" formatCode="\ \ \ \-\ \ \ \ \ "/>
    <numFmt numFmtId="208" formatCode="\ \ \ \-\ "/>
    <numFmt numFmtId="209" formatCode="\ \ \ \-\ \ \ \ \ \ "/>
    <numFmt numFmtId="210" formatCode="0.0"/>
    <numFmt numFmtId="211" formatCode="\ \ \ \ \ \-\ \ "/>
    <numFmt numFmtId="212" formatCode="#,##0\ \ \ \ \ "/>
  </numFmts>
  <fonts count="67">
    <font>
      <sz val="10"/>
      <name val="Arial"/>
      <family val="0"/>
    </font>
    <font>
      <sz val="10"/>
      <name val="Helv"/>
      <family val="0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u val="single"/>
      <sz val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b/>
      <u val="single"/>
      <vertAlign val="superscript"/>
      <sz val="10"/>
      <name val="Times New Roman"/>
      <family val="1"/>
    </font>
    <font>
      <u val="single"/>
      <sz val="10"/>
      <color indexed="36"/>
      <name val="Helv"/>
      <family val="0"/>
    </font>
    <font>
      <u val="single"/>
      <sz val="10"/>
      <color indexed="12"/>
      <name val="Helv"/>
      <family val="0"/>
    </font>
    <font>
      <sz val="12"/>
      <name val="Times New Roman"/>
      <family val="1"/>
    </font>
    <font>
      <sz val="10"/>
      <name val="Microsoft Sans Serif"/>
      <family val="2"/>
    </font>
    <font>
      <b/>
      <sz val="10"/>
      <name val="Microsoft Sans Serif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G Time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G Times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G Times"/>
      <family val="1"/>
    </font>
    <font>
      <u val="single"/>
      <sz val="14"/>
      <name val="CG Times"/>
      <family val="1"/>
    </font>
    <font>
      <b/>
      <sz val="12"/>
      <name val="CG Times"/>
      <family val="1"/>
    </font>
    <font>
      <u val="single"/>
      <sz val="10"/>
      <name val="CG Times"/>
      <family val="1"/>
    </font>
    <font>
      <b/>
      <sz val="11"/>
      <name val="CG Times"/>
      <family val="1"/>
    </font>
    <font>
      <u val="single"/>
      <sz val="11"/>
      <name val="CG Times"/>
      <family val="1"/>
    </font>
    <font>
      <sz val="11"/>
      <name val="CG Times"/>
      <family val="1"/>
    </font>
    <font>
      <sz val="10"/>
      <name val="CG Times (W1)"/>
      <family val="0"/>
    </font>
    <font>
      <b/>
      <vertAlign val="superscript"/>
      <sz val="11"/>
      <name val="CG Times"/>
      <family val="0"/>
    </font>
    <font>
      <i/>
      <sz val="11"/>
      <name val="CG Times"/>
      <family val="1"/>
    </font>
    <font>
      <vertAlign val="superscript"/>
      <sz val="10"/>
      <name val="CG Times"/>
      <family val="1"/>
    </font>
    <font>
      <b/>
      <sz val="14"/>
      <name val="CG Times (W1)"/>
      <family val="0"/>
    </font>
    <font>
      <b/>
      <sz val="12"/>
      <name val="CG Times (W1)"/>
      <family val="0"/>
    </font>
    <font>
      <sz val="12"/>
      <name val="CG Times (W1)"/>
      <family val="0"/>
    </font>
    <font>
      <b/>
      <sz val="10"/>
      <name val="CG Times (W1)"/>
      <family val="0"/>
    </font>
    <font>
      <b/>
      <vertAlign val="superscript"/>
      <sz val="10"/>
      <name val="CG Times (W1)"/>
      <family val="0"/>
    </font>
    <font>
      <b/>
      <vertAlign val="superscript"/>
      <sz val="10"/>
      <name val="Calibri"/>
      <family val="2"/>
    </font>
    <font>
      <b/>
      <u val="single"/>
      <sz val="10"/>
      <name val="CG Times (W1)"/>
      <family val="0"/>
    </font>
    <font>
      <b/>
      <u val="single"/>
      <sz val="10"/>
      <name val="CG Times"/>
      <family val="1"/>
    </font>
    <font>
      <b/>
      <sz val="10"/>
      <name val="Helv"/>
      <family val="0"/>
    </font>
    <font>
      <b/>
      <sz val="10"/>
      <color indexed="8"/>
      <name val="CG Times"/>
      <family val="1"/>
    </font>
    <font>
      <b/>
      <sz val="10"/>
      <name val="CG Times"/>
      <family val="1"/>
    </font>
    <font>
      <i/>
      <sz val="10"/>
      <name val="CG Times (W1)"/>
      <family val="0"/>
    </font>
    <font>
      <i/>
      <sz val="10"/>
      <name val="CG Times"/>
      <family val="0"/>
    </font>
    <font>
      <vertAlign val="superscript"/>
      <sz val="10"/>
      <name val="CG Times (W1)"/>
      <family val="0"/>
    </font>
    <font>
      <b/>
      <vertAlign val="superscript"/>
      <sz val="10"/>
      <name val="CG Times"/>
      <family val="1"/>
    </font>
    <font>
      <b/>
      <i/>
      <sz val="10"/>
      <name val="CG Times"/>
      <family val="0"/>
    </font>
    <font>
      <sz val="10"/>
      <name val="MS Sans Serif"/>
      <family val="2"/>
    </font>
    <font>
      <sz val="12"/>
      <color indexed="8"/>
      <name val="Times New Roman"/>
      <family val="0"/>
    </font>
    <font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68">
    <xf numFmtId="0" fontId="0" fillId="0" borderId="0" xfId="0" applyAlignment="1">
      <alignment/>
    </xf>
    <xf numFmtId="0" fontId="4" fillId="0" borderId="10" xfId="60" applyNumberFormat="1" applyFont="1" applyBorder="1" applyAlignment="1" applyProtection="1">
      <alignment horizontal="right"/>
      <protection/>
    </xf>
    <xf numFmtId="0" fontId="5" fillId="0" borderId="0" xfId="60" applyFont="1">
      <alignment/>
      <protection/>
    </xf>
    <xf numFmtId="0" fontId="7" fillId="0" borderId="0" xfId="61" applyFont="1">
      <alignment/>
      <protection/>
    </xf>
    <xf numFmtId="0" fontId="2" fillId="0" borderId="0" xfId="61" applyFont="1">
      <alignment/>
      <protection/>
    </xf>
    <xf numFmtId="0" fontId="6" fillId="0" borderId="0" xfId="61" applyFont="1">
      <alignment/>
      <protection/>
    </xf>
    <xf numFmtId="0" fontId="2" fillId="0" borderId="11" xfId="61" applyFont="1" applyBorder="1" applyAlignment="1">
      <alignment horizontal="centerContinuous" vertical="center"/>
      <protection/>
    </xf>
    <xf numFmtId="0" fontId="6" fillId="0" borderId="11" xfId="61" applyFont="1" applyBorder="1" applyAlignment="1">
      <alignment horizontal="centerContinuous"/>
      <protection/>
    </xf>
    <xf numFmtId="0" fontId="6" fillId="0" borderId="12" xfId="61" applyFont="1" applyBorder="1" applyAlignment="1">
      <alignment horizontal="centerContinuous"/>
      <protection/>
    </xf>
    <xf numFmtId="17" fontId="6" fillId="0" borderId="13" xfId="61" applyNumberFormat="1" applyFont="1" applyBorder="1" applyAlignment="1">
      <alignment horizontal="centerContinuous" vertical="center"/>
      <protection/>
    </xf>
    <xf numFmtId="17" fontId="6" fillId="0" borderId="10" xfId="61" applyNumberFormat="1" applyFont="1" applyBorder="1" applyAlignment="1">
      <alignment horizontal="centerContinuous" vertical="center"/>
      <protection/>
    </xf>
    <xf numFmtId="0" fontId="6" fillId="0" borderId="14" xfId="61" applyFont="1" applyBorder="1" applyAlignment="1">
      <alignment horizontal="centerContinuous" vertical="center"/>
      <protection/>
    </xf>
    <xf numFmtId="0" fontId="6" fillId="0" borderId="0" xfId="61" applyFont="1" applyAlignment="1">
      <alignment vertical="center"/>
      <protection/>
    </xf>
    <xf numFmtId="17" fontId="6" fillId="0" borderId="15" xfId="61" applyNumberFormat="1" applyFont="1" applyBorder="1" applyAlignment="1">
      <alignment horizontal="centerContinuous" vertical="center"/>
      <protection/>
    </xf>
    <xf numFmtId="17" fontId="6" fillId="0" borderId="16" xfId="61" applyNumberFormat="1" applyFont="1" applyBorder="1" applyAlignment="1">
      <alignment horizontal="centerContinuous" vertical="center"/>
      <protection/>
    </xf>
    <xf numFmtId="17" fontId="6" fillId="0" borderId="12" xfId="61" applyNumberFormat="1" applyFont="1" applyBorder="1" applyAlignment="1">
      <alignment horizontal="centerContinuous" vertical="center"/>
      <protection/>
    </xf>
    <xf numFmtId="17" fontId="6" fillId="0" borderId="17" xfId="61" applyNumberFormat="1" applyFont="1" applyBorder="1" applyAlignment="1">
      <alignment horizontal="centerContinuous" vertical="center"/>
      <protection/>
    </xf>
    <xf numFmtId="3" fontId="6" fillId="0" borderId="0" xfId="61" applyNumberFormat="1" applyFont="1" applyBorder="1" applyAlignment="1">
      <alignment horizontal="right"/>
      <protection/>
    </xf>
    <xf numFmtId="3" fontId="6" fillId="0" borderId="18" xfId="61" applyNumberFormat="1" applyFont="1" applyBorder="1" applyAlignment="1">
      <alignment/>
      <protection/>
    </xf>
    <xf numFmtId="174" fontId="6" fillId="0" borderId="19" xfId="61" applyNumberFormat="1" applyFont="1" applyBorder="1" applyAlignment="1">
      <alignment horizontal="right"/>
      <protection/>
    </xf>
    <xf numFmtId="190" fontId="6" fillId="0" borderId="18" xfId="61" applyNumberFormat="1" applyFont="1" applyBorder="1" applyAlignment="1">
      <alignment/>
      <protection/>
    </xf>
    <xf numFmtId="3" fontId="6" fillId="0" borderId="0" xfId="61" applyNumberFormat="1" applyFont="1" applyBorder="1" applyAlignment="1">
      <alignment horizontal="right" vertical="center"/>
      <protection/>
    </xf>
    <xf numFmtId="3" fontId="2" fillId="0" borderId="12" xfId="61" applyNumberFormat="1" applyFont="1" applyBorder="1" applyAlignment="1">
      <alignment vertical="center"/>
      <protection/>
    </xf>
    <xf numFmtId="0" fontId="10" fillId="0" borderId="0" xfId="63" applyFont="1">
      <alignment/>
      <protection/>
    </xf>
    <xf numFmtId="0" fontId="7" fillId="0" borderId="0" xfId="65" applyFont="1">
      <alignment/>
      <protection/>
    </xf>
    <xf numFmtId="3" fontId="2" fillId="0" borderId="16" xfId="65" applyNumberFormat="1" applyFont="1" applyBorder="1" applyAlignment="1">
      <alignment vertical="center"/>
      <protection/>
    </xf>
    <xf numFmtId="0" fontId="6" fillId="0" borderId="0" xfId="65" applyFont="1">
      <alignment/>
      <protection/>
    </xf>
    <xf numFmtId="3" fontId="6" fillId="0" borderId="20" xfId="61" applyNumberFormat="1" applyFont="1" applyBorder="1" applyAlignment="1">
      <alignment horizontal="right"/>
      <protection/>
    </xf>
    <xf numFmtId="3" fontId="6" fillId="0" borderId="18" xfId="61" applyNumberFormat="1" applyFont="1" applyBorder="1" applyAlignment="1">
      <alignment horizontal="right"/>
      <protection/>
    </xf>
    <xf numFmtId="3" fontId="6" fillId="0" borderId="0" xfId="62" applyNumberFormat="1" applyFont="1" applyBorder="1" applyAlignment="1">
      <alignment horizontal="right"/>
      <protection/>
    </xf>
    <xf numFmtId="3" fontId="6" fillId="0" borderId="19" xfId="62" applyNumberFormat="1" applyFont="1" applyBorder="1" applyAlignment="1">
      <alignment horizontal="right"/>
      <protection/>
    </xf>
    <xf numFmtId="3" fontId="6" fillId="0" borderId="20" xfId="62" applyNumberFormat="1" applyFont="1" applyBorder="1" applyAlignment="1">
      <alignment horizontal="right"/>
      <protection/>
    </xf>
    <xf numFmtId="3" fontId="6" fillId="0" borderId="21" xfId="62" applyNumberFormat="1" applyFont="1" applyBorder="1" applyAlignment="1">
      <alignment horizontal="right"/>
      <protection/>
    </xf>
    <xf numFmtId="3" fontId="2" fillId="0" borderId="11" xfId="65" applyNumberFormat="1" applyFont="1" applyBorder="1" applyAlignment="1">
      <alignment vertical="center"/>
      <protection/>
    </xf>
    <xf numFmtId="3" fontId="2" fillId="0" borderId="12" xfId="65" applyNumberFormat="1" applyFont="1" applyBorder="1" applyAlignment="1">
      <alignment vertical="center"/>
      <protection/>
    </xf>
    <xf numFmtId="0" fontId="6" fillId="0" borderId="22" xfId="0" applyFont="1" applyBorder="1" applyAlignment="1">
      <alignment/>
    </xf>
    <xf numFmtId="0" fontId="6" fillId="0" borderId="20" xfId="0" applyFont="1" applyBorder="1" applyAlignment="1">
      <alignment/>
    </xf>
    <xf numFmtId="3" fontId="6" fillId="0" borderId="10" xfId="62" applyNumberFormat="1" applyFont="1" applyBorder="1" applyAlignment="1">
      <alignment horizontal="right"/>
      <protection/>
    </xf>
    <xf numFmtId="0" fontId="7" fillId="0" borderId="0" xfId="64" applyFont="1">
      <alignment/>
      <protection/>
    </xf>
    <xf numFmtId="0" fontId="6" fillId="0" borderId="0" xfId="64" applyFont="1">
      <alignment/>
      <protection/>
    </xf>
    <xf numFmtId="0" fontId="6" fillId="0" borderId="10" xfId="64" applyFont="1" applyBorder="1" applyAlignment="1">
      <alignment horizontal="centerContinuous"/>
      <protection/>
    </xf>
    <xf numFmtId="0" fontId="6" fillId="0" borderId="14" xfId="64" applyFont="1" applyBorder="1" applyAlignment="1">
      <alignment horizontal="centerContinuous"/>
      <protection/>
    </xf>
    <xf numFmtId="17" fontId="2" fillId="0" borderId="23" xfId="64" applyNumberFormat="1" applyFont="1" applyBorder="1" applyAlignment="1">
      <alignment horizontal="centerContinuous" vertical="center"/>
      <protection/>
    </xf>
    <xf numFmtId="0" fontId="6" fillId="0" borderId="23" xfId="64" applyFont="1" applyBorder="1" applyAlignment="1">
      <alignment horizontal="centerContinuous"/>
      <protection/>
    </xf>
    <xf numFmtId="0" fontId="6" fillId="0" borderId="24" xfId="64" applyFont="1" applyBorder="1" applyAlignment="1">
      <alignment horizontal="centerContinuous"/>
      <protection/>
    </xf>
    <xf numFmtId="17" fontId="6" fillId="0" borderId="25" xfId="64" applyNumberFormat="1" applyFont="1" applyBorder="1" applyAlignment="1">
      <alignment horizontal="center" vertical="center"/>
      <protection/>
    </xf>
    <xf numFmtId="17" fontId="6" fillId="0" borderId="26" xfId="64" applyNumberFormat="1" applyFont="1" applyBorder="1" applyAlignment="1">
      <alignment horizontal="center" vertical="center"/>
      <protection/>
    </xf>
    <xf numFmtId="189" fontId="6" fillId="0" borderId="27" xfId="64" applyNumberFormat="1" applyFont="1" applyBorder="1" applyAlignment="1">
      <alignment horizontal="right"/>
      <protection/>
    </xf>
    <xf numFmtId="189" fontId="6" fillId="0" borderId="0" xfId="64" applyNumberFormat="1" applyFont="1" applyAlignment="1">
      <alignment horizontal="right"/>
      <protection/>
    </xf>
    <xf numFmtId="189" fontId="6" fillId="0" borderId="28" xfId="64" applyNumberFormat="1" applyFont="1" applyBorder="1" applyAlignment="1">
      <alignment horizontal="right"/>
      <protection/>
    </xf>
    <xf numFmtId="186" fontId="6" fillId="0" borderId="27" xfId="64" applyNumberFormat="1" applyFont="1" applyBorder="1" applyAlignment="1">
      <alignment horizontal="right"/>
      <protection/>
    </xf>
    <xf numFmtId="186" fontId="6" fillId="0" borderId="0" xfId="64" applyNumberFormat="1" applyFont="1" applyAlignment="1">
      <alignment horizontal="right"/>
      <protection/>
    </xf>
    <xf numFmtId="0" fontId="6" fillId="0" borderId="0" xfId="64" applyFont="1" applyAlignment="1">
      <alignment horizontal="right"/>
      <protection/>
    </xf>
    <xf numFmtId="189" fontId="6" fillId="0" borderId="29" xfId="64" applyNumberFormat="1" applyFont="1" applyBorder="1" applyAlignment="1">
      <alignment horizontal="right"/>
      <protection/>
    </xf>
    <xf numFmtId="189" fontId="2" fillId="0" borderId="30" xfId="64" applyNumberFormat="1" applyFont="1" applyBorder="1" applyAlignment="1">
      <alignment horizontal="right" vertical="center"/>
      <protection/>
    </xf>
    <xf numFmtId="0" fontId="6" fillId="0" borderId="0" xfId="65" applyFont="1" applyAlignment="1">
      <alignment/>
      <protection/>
    </xf>
    <xf numFmtId="17" fontId="2" fillId="0" borderId="31" xfId="65" applyNumberFormat="1" applyFont="1" applyBorder="1" applyAlignment="1">
      <alignment horizontal="centerContinuous" vertical="center"/>
      <protection/>
    </xf>
    <xf numFmtId="0" fontId="6" fillId="0" borderId="31" xfId="65" applyFont="1" applyBorder="1" applyAlignment="1">
      <alignment horizontal="centerContinuous"/>
      <protection/>
    </xf>
    <xf numFmtId="0" fontId="6" fillId="0" borderId="32" xfId="65" applyFont="1" applyBorder="1" applyAlignment="1">
      <alignment horizontal="centerContinuous"/>
      <protection/>
    </xf>
    <xf numFmtId="17" fontId="2" fillId="0" borderId="0" xfId="65" applyNumberFormat="1" applyFont="1" applyBorder="1" applyAlignment="1">
      <alignment horizontal="centerContinuous" vertical="center"/>
      <protection/>
    </xf>
    <xf numFmtId="0" fontId="6" fillId="0" borderId="0" xfId="65" applyFont="1" applyBorder="1" applyAlignment="1">
      <alignment horizontal="centerContinuous"/>
      <protection/>
    </xf>
    <xf numFmtId="0" fontId="6" fillId="0" borderId="18" xfId="65" applyFont="1" applyBorder="1" applyAlignment="1">
      <alignment horizontal="centerContinuous"/>
      <protection/>
    </xf>
    <xf numFmtId="17" fontId="6" fillId="0" borderId="15" xfId="65" applyNumberFormat="1" applyFont="1" applyBorder="1" applyAlignment="1">
      <alignment horizontal="centerContinuous" vertical="center"/>
      <protection/>
    </xf>
    <xf numFmtId="17" fontId="6" fillId="0" borderId="16" xfId="65" applyNumberFormat="1" applyFont="1" applyBorder="1" applyAlignment="1">
      <alignment horizontal="centerContinuous" vertical="center"/>
      <protection/>
    </xf>
    <xf numFmtId="17" fontId="6" fillId="0" borderId="12" xfId="65" applyNumberFormat="1" applyFont="1" applyBorder="1" applyAlignment="1">
      <alignment horizontal="centerContinuous" vertical="center"/>
      <protection/>
    </xf>
    <xf numFmtId="3" fontId="6" fillId="0" borderId="19" xfId="65" applyNumberFormat="1" applyFont="1" applyBorder="1" applyAlignment="1">
      <alignment/>
      <protection/>
    </xf>
    <xf numFmtId="3" fontId="6" fillId="0" borderId="20" xfId="65" applyNumberFormat="1" applyFont="1" applyBorder="1" applyAlignment="1">
      <alignment/>
      <protection/>
    </xf>
    <xf numFmtId="3" fontId="6" fillId="0" borderId="0" xfId="65" applyNumberFormat="1" applyFont="1" applyAlignment="1">
      <alignment/>
      <protection/>
    </xf>
    <xf numFmtId="3" fontId="6" fillId="0" borderId="18" xfId="65" applyNumberFormat="1" applyFont="1" applyBorder="1" applyAlignment="1">
      <alignment/>
      <protection/>
    </xf>
    <xf numFmtId="3" fontId="6" fillId="0" borderId="0" xfId="65" applyNumberFormat="1" applyFont="1">
      <alignment/>
      <protection/>
    </xf>
    <xf numFmtId="174" fontId="6" fillId="0" borderId="19" xfId="65" applyNumberFormat="1" applyFont="1" applyBorder="1" applyAlignment="1">
      <alignment/>
      <protection/>
    </xf>
    <xf numFmtId="174" fontId="6" fillId="0" borderId="20" xfId="65" applyNumberFormat="1" applyFont="1" applyBorder="1" applyAlignment="1">
      <alignment/>
      <protection/>
    </xf>
    <xf numFmtId="174" fontId="6" fillId="0" borderId="0" xfId="65" applyNumberFormat="1" applyFont="1" applyAlignment="1">
      <alignment horizontal="right"/>
      <protection/>
    </xf>
    <xf numFmtId="174" fontId="6" fillId="0" borderId="18" xfId="65" applyNumberFormat="1" applyFont="1" applyBorder="1" applyAlignment="1">
      <alignment/>
      <protection/>
    </xf>
    <xf numFmtId="174" fontId="6" fillId="0" borderId="0" xfId="65" applyNumberFormat="1" applyFont="1" applyAlignment="1">
      <alignment/>
      <protection/>
    </xf>
    <xf numFmtId="3" fontId="6" fillId="0" borderId="29" xfId="65" applyNumberFormat="1" applyFont="1" applyBorder="1" applyAlignment="1">
      <alignment/>
      <protection/>
    </xf>
    <xf numFmtId="3" fontId="6" fillId="0" borderId="0" xfId="65" applyNumberFormat="1" applyFont="1" applyBorder="1" applyAlignment="1">
      <alignment/>
      <protection/>
    </xf>
    <xf numFmtId="189" fontId="6" fillId="0" borderId="0" xfId="65" applyNumberFormat="1" applyFont="1">
      <alignment/>
      <protection/>
    </xf>
    <xf numFmtId="17" fontId="6" fillId="0" borderId="33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31" xfId="0" applyFont="1" applyBorder="1" applyAlignment="1">
      <alignment horizontal="centerContinuous" vertical="center"/>
    </xf>
    <xf numFmtId="0" fontId="6" fillId="0" borderId="32" xfId="0" applyFont="1" applyBorder="1" applyAlignment="1">
      <alignment horizontal="centerContinuous" vertical="center"/>
    </xf>
    <xf numFmtId="0" fontId="6" fillId="0" borderId="0" xfId="60" applyFont="1">
      <alignment/>
      <protection/>
    </xf>
    <xf numFmtId="176" fontId="6" fillId="0" borderId="0" xfId="60" applyNumberFormat="1" applyFont="1">
      <alignment/>
      <protection/>
    </xf>
    <xf numFmtId="0" fontId="4" fillId="0" borderId="0" xfId="60" applyFont="1" applyAlignment="1">
      <alignment horizontal="right"/>
      <protection/>
    </xf>
    <xf numFmtId="0" fontId="6" fillId="0" borderId="0" xfId="60" applyFont="1" applyBorder="1">
      <alignment/>
      <protection/>
    </xf>
    <xf numFmtId="176" fontId="2" fillId="0" borderId="0" xfId="60" applyNumberFormat="1" applyFont="1">
      <alignment/>
      <protection/>
    </xf>
    <xf numFmtId="0" fontId="6" fillId="0" borderId="13" xfId="60" applyFont="1" applyBorder="1">
      <alignment/>
      <protection/>
    </xf>
    <xf numFmtId="1" fontId="4" fillId="0" borderId="10" xfId="60" applyNumberFormat="1" applyFont="1" applyBorder="1" applyAlignment="1" applyProtection="1">
      <alignment horizontal="right"/>
      <protection/>
    </xf>
    <xf numFmtId="0" fontId="2" fillId="0" borderId="34" xfId="60" applyFont="1" applyBorder="1" applyAlignment="1">
      <alignment horizontal="left"/>
      <protection/>
    </xf>
    <xf numFmtId="0" fontId="6" fillId="0" borderId="34" xfId="60" applyFont="1" applyBorder="1">
      <alignment/>
      <protection/>
    </xf>
    <xf numFmtId="0" fontId="2" fillId="0" borderId="34" xfId="60" applyFont="1" applyBorder="1">
      <alignment/>
      <protection/>
    </xf>
    <xf numFmtId="180" fontId="6" fillId="0" borderId="0" xfId="60" applyNumberFormat="1" applyFont="1">
      <alignment/>
      <protection/>
    </xf>
    <xf numFmtId="0" fontId="2" fillId="0" borderId="34" xfId="60" applyFont="1" applyBorder="1" applyAlignment="1">
      <alignment/>
      <protection/>
    </xf>
    <xf numFmtId="0" fontId="6" fillId="0" borderId="35" xfId="60" applyFont="1" applyBorder="1">
      <alignment/>
      <protection/>
    </xf>
    <xf numFmtId="176" fontId="6" fillId="0" borderId="0" xfId="60" applyNumberFormat="1" applyFont="1" applyBorder="1" applyAlignment="1">
      <alignment horizontal="right"/>
      <protection/>
    </xf>
    <xf numFmtId="3" fontId="6" fillId="0" borderId="0" xfId="60" applyNumberFormat="1" applyFont="1" applyBorder="1">
      <alignment/>
      <protection/>
    </xf>
    <xf numFmtId="0" fontId="7" fillId="0" borderId="0" xfId="62" applyFont="1" applyAlignment="1">
      <alignment horizontal="left"/>
      <protection/>
    </xf>
    <xf numFmtId="0" fontId="2" fillId="0" borderId="0" xfId="62" applyFont="1" applyAlignment="1">
      <alignment horizontal="left"/>
      <protection/>
    </xf>
    <xf numFmtId="0" fontId="2" fillId="0" borderId="0" xfId="62" applyFont="1">
      <alignment/>
      <protection/>
    </xf>
    <xf numFmtId="0" fontId="6" fillId="0" borderId="0" xfId="62" applyFont="1" applyAlignment="1">
      <alignment horizontal="left"/>
      <protection/>
    </xf>
    <xf numFmtId="0" fontId="6" fillId="0" borderId="0" xfId="62" applyFont="1">
      <alignment/>
      <protection/>
    </xf>
    <xf numFmtId="0" fontId="2" fillId="0" borderId="10" xfId="62" applyNumberFormat="1" applyFont="1" applyBorder="1" applyAlignment="1">
      <alignment horizontal="centerContinuous" vertical="center"/>
      <protection/>
    </xf>
    <xf numFmtId="0" fontId="6" fillId="0" borderId="10" xfId="62" applyFont="1" applyBorder="1" applyAlignment="1">
      <alignment horizontal="centerContinuous"/>
      <protection/>
    </xf>
    <xf numFmtId="0" fontId="6" fillId="0" borderId="31" xfId="62" applyFont="1" applyBorder="1" applyAlignment="1">
      <alignment horizontal="centerContinuous"/>
      <protection/>
    </xf>
    <xf numFmtId="0" fontId="6" fillId="0" borderId="12" xfId="62" applyFont="1" applyBorder="1">
      <alignment/>
      <protection/>
    </xf>
    <xf numFmtId="17" fontId="2" fillId="0" borderId="10" xfId="62" applyNumberFormat="1" applyFont="1" applyBorder="1" applyAlignment="1">
      <alignment horizontal="centerContinuous" vertical="center"/>
      <protection/>
    </xf>
    <xf numFmtId="0" fontId="6" fillId="0" borderId="18" xfId="62" applyFont="1" applyBorder="1">
      <alignment/>
      <protection/>
    </xf>
    <xf numFmtId="0" fontId="6" fillId="0" borderId="26" xfId="62" applyFont="1" applyBorder="1" applyAlignment="1">
      <alignment horizontal="centerContinuous" vertical="center"/>
      <protection/>
    </xf>
    <xf numFmtId="17" fontId="6" fillId="0" borderId="36" xfId="62" applyNumberFormat="1" applyFont="1" applyBorder="1" applyAlignment="1">
      <alignment horizontal="centerContinuous" vertical="center"/>
      <protection/>
    </xf>
    <xf numFmtId="0" fontId="6" fillId="0" borderId="25" xfId="62" applyFont="1" applyBorder="1" applyAlignment="1">
      <alignment horizontal="centerContinuous" vertical="center"/>
      <protection/>
    </xf>
    <xf numFmtId="0" fontId="6" fillId="0" borderId="33" xfId="62" applyFont="1" applyBorder="1" applyAlignment="1">
      <alignment horizontal="centerContinuous" vertical="center"/>
      <protection/>
    </xf>
    <xf numFmtId="0" fontId="6" fillId="0" borderId="37" xfId="62" applyFont="1" applyBorder="1" applyAlignment="1">
      <alignment horizontal="centerContinuous" vertical="center"/>
      <protection/>
    </xf>
    <xf numFmtId="0" fontId="6" fillId="0" borderId="38" xfId="62" applyFont="1" applyBorder="1">
      <alignment/>
      <protection/>
    </xf>
    <xf numFmtId="3" fontId="6" fillId="0" borderId="0" xfId="62" applyNumberFormat="1" applyFont="1" applyAlignment="1">
      <alignment horizontal="right"/>
      <protection/>
    </xf>
    <xf numFmtId="0" fontId="6" fillId="0" borderId="0" xfId="63" applyFont="1">
      <alignment/>
      <protection/>
    </xf>
    <xf numFmtId="3" fontId="6" fillId="0" borderId="0" xfId="63" applyNumberFormat="1" applyFont="1">
      <alignment/>
      <protection/>
    </xf>
    <xf numFmtId="0" fontId="6" fillId="0" borderId="0" xfId="63" applyFont="1" applyBorder="1">
      <alignment/>
      <protection/>
    </xf>
    <xf numFmtId="0" fontId="7" fillId="0" borderId="0" xfId="63" applyFont="1" applyAlignment="1" quotePrefix="1">
      <alignment horizontal="left"/>
      <protection/>
    </xf>
    <xf numFmtId="0" fontId="2" fillId="0" borderId="0" xfId="63" applyFont="1">
      <alignment/>
      <protection/>
    </xf>
    <xf numFmtId="0" fontId="6" fillId="0" borderId="13" xfId="63" applyFont="1" applyBorder="1">
      <alignment/>
      <protection/>
    </xf>
    <xf numFmtId="0" fontId="6" fillId="0" borderId="10" xfId="63" applyFont="1" applyBorder="1" applyAlignment="1">
      <alignment horizontal="center"/>
      <protection/>
    </xf>
    <xf numFmtId="0" fontId="6" fillId="0" borderId="34" xfId="63" applyFont="1" applyBorder="1">
      <alignment/>
      <protection/>
    </xf>
    <xf numFmtId="0" fontId="6" fillId="0" borderId="0" xfId="63" applyFont="1" applyBorder="1" applyAlignment="1">
      <alignment horizontal="center"/>
      <protection/>
    </xf>
    <xf numFmtId="0" fontId="7" fillId="0" borderId="0" xfId="63" applyFont="1" applyBorder="1">
      <alignment/>
      <protection/>
    </xf>
    <xf numFmtId="0" fontId="6" fillId="0" borderId="35" xfId="63" applyFont="1" applyBorder="1">
      <alignment/>
      <protection/>
    </xf>
    <xf numFmtId="0" fontId="6" fillId="0" borderId="39" xfId="63" applyFont="1" applyBorder="1">
      <alignment/>
      <protection/>
    </xf>
    <xf numFmtId="0" fontId="2" fillId="0" borderId="10" xfId="0" applyFont="1" applyBorder="1" applyAlignment="1">
      <alignment horizontal="centerContinuous" vertical="center"/>
    </xf>
    <xf numFmtId="0" fontId="6" fillId="0" borderId="14" xfId="0" applyFont="1" applyBorder="1" applyAlignment="1">
      <alignment/>
    </xf>
    <xf numFmtId="172" fontId="6" fillId="0" borderId="0" xfId="0" applyNumberFormat="1" applyFont="1" applyAlignment="1">
      <alignment/>
    </xf>
    <xf numFmtId="3" fontId="6" fillId="0" borderId="20" xfId="0" applyNumberFormat="1" applyFont="1" applyBorder="1" applyAlignment="1">
      <alignment horizontal="left" indent="5"/>
    </xf>
    <xf numFmtId="0" fontId="6" fillId="0" borderId="18" xfId="0" applyFont="1" applyBorder="1" applyAlignment="1">
      <alignment/>
    </xf>
    <xf numFmtId="172" fontId="6" fillId="0" borderId="20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3" fontId="6" fillId="0" borderId="0" xfId="0" applyNumberFormat="1" applyFont="1" applyBorder="1" applyAlignment="1">
      <alignment horizontal="left" indent="5"/>
    </xf>
    <xf numFmtId="173" fontId="6" fillId="0" borderId="19" xfId="0" applyNumberFormat="1" applyFont="1" applyBorder="1" applyAlignment="1">
      <alignment/>
    </xf>
    <xf numFmtId="0" fontId="6" fillId="0" borderId="10" xfId="0" applyFont="1" applyBorder="1" applyAlignment="1">
      <alignment horizontal="centerContinuous" vertical="center"/>
    </xf>
    <xf numFmtId="172" fontId="6" fillId="0" borderId="40" xfId="0" applyNumberFormat="1" applyFont="1" applyBorder="1" applyAlignment="1">
      <alignment/>
    </xf>
    <xf numFmtId="172" fontId="6" fillId="0" borderId="19" xfId="0" applyNumberFormat="1" applyFont="1" applyBorder="1" applyAlignment="1">
      <alignment/>
    </xf>
    <xf numFmtId="188" fontId="6" fillId="0" borderId="20" xfId="61" applyNumberFormat="1" applyFont="1" applyBorder="1" applyAlignment="1">
      <alignment horizontal="right"/>
      <protection/>
    </xf>
    <xf numFmtId="188" fontId="6" fillId="0" borderId="18" xfId="61" applyNumberFormat="1" applyFont="1" applyBorder="1" applyAlignment="1">
      <alignment horizontal="right"/>
      <protection/>
    </xf>
    <xf numFmtId="174" fontId="6" fillId="0" borderId="0" xfId="61" applyNumberFormat="1" applyFont="1" applyBorder="1" applyAlignment="1">
      <alignment horizontal="right"/>
      <protection/>
    </xf>
    <xf numFmtId="191" fontId="6" fillId="0" borderId="20" xfId="61" applyNumberFormat="1" applyFont="1" applyBorder="1" applyAlignment="1">
      <alignment horizontal="right"/>
      <protection/>
    </xf>
    <xf numFmtId="191" fontId="6" fillId="0" borderId="18" xfId="61" applyNumberFormat="1" applyFont="1" applyBorder="1" applyAlignment="1">
      <alignment horizontal="right"/>
      <protection/>
    </xf>
    <xf numFmtId="3" fontId="2" fillId="0" borderId="16" xfId="61" applyNumberFormat="1" applyFont="1" applyBorder="1" applyAlignment="1">
      <alignment horizontal="right" vertical="center"/>
      <protection/>
    </xf>
    <xf numFmtId="3" fontId="2" fillId="0" borderId="11" xfId="61" applyNumberFormat="1" applyFont="1" applyBorder="1" applyAlignment="1">
      <alignment horizontal="right" vertical="center"/>
      <protection/>
    </xf>
    <xf numFmtId="3" fontId="2" fillId="0" borderId="12" xfId="61" applyNumberFormat="1" applyFont="1" applyBorder="1" applyAlignment="1">
      <alignment horizontal="right" vertical="center"/>
      <protection/>
    </xf>
    <xf numFmtId="3" fontId="2" fillId="0" borderId="10" xfId="62" applyNumberFormat="1" applyFont="1" applyBorder="1" applyAlignment="1">
      <alignment horizontal="center" vertical="center"/>
      <protection/>
    </xf>
    <xf numFmtId="0" fontId="2" fillId="0" borderId="14" xfId="62" applyFont="1" applyBorder="1" applyAlignment="1">
      <alignment horizontal="center" vertical="center"/>
      <protection/>
    </xf>
    <xf numFmtId="3" fontId="9" fillId="0" borderId="41" xfId="62" applyNumberFormat="1" applyFont="1" applyBorder="1" applyAlignment="1">
      <alignment horizontal="center" vertical="center"/>
      <protection/>
    </xf>
    <xf numFmtId="0" fontId="6" fillId="0" borderId="42" xfId="62" applyFont="1" applyBorder="1" applyAlignment="1">
      <alignment horizontal="center" vertical="center"/>
      <protection/>
    </xf>
    <xf numFmtId="0" fontId="2" fillId="0" borderId="13" xfId="62" applyFont="1" applyBorder="1" applyAlignment="1">
      <alignment horizontal="centerContinuous" vertical="center"/>
      <protection/>
    </xf>
    <xf numFmtId="0" fontId="9" fillId="0" borderId="35" xfId="62" applyFont="1" applyBorder="1" applyAlignment="1">
      <alignment horizontal="center" vertical="top"/>
      <protection/>
    </xf>
    <xf numFmtId="3" fontId="6" fillId="0" borderId="19" xfId="0" applyNumberFormat="1" applyFont="1" applyBorder="1" applyAlignment="1">
      <alignment horizontal="right"/>
    </xf>
    <xf numFmtId="172" fontId="2" fillId="0" borderId="15" xfId="0" applyNumberFormat="1" applyFont="1" applyBorder="1" applyAlignment="1">
      <alignment vertical="center"/>
    </xf>
    <xf numFmtId="172" fontId="2" fillId="0" borderId="16" xfId="0" applyNumberFormat="1" applyFont="1" applyBorder="1" applyAlignment="1">
      <alignment vertical="center"/>
    </xf>
    <xf numFmtId="172" fontId="2" fillId="0" borderId="12" xfId="0" applyNumberFormat="1" applyFont="1" applyBorder="1" applyAlignment="1">
      <alignment vertical="center"/>
    </xf>
    <xf numFmtId="3" fontId="2" fillId="0" borderId="21" xfId="62" applyNumberFormat="1" applyFont="1" applyBorder="1" applyAlignment="1">
      <alignment horizontal="right" vertical="center"/>
      <protection/>
    </xf>
    <xf numFmtId="3" fontId="9" fillId="0" borderId="43" xfId="62" applyNumberFormat="1" applyFont="1" applyBorder="1" applyAlignment="1">
      <alignment horizontal="right" vertical="center"/>
      <protection/>
    </xf>
    <xf numFmtId="3" fontId="2" fillId="0" borderId="10" xfId="62" applyNumberFormat="1" applyFont="1" applyBorder="1" applyAlignment="1">
      <alignment horizontal="right" vertical="center"/>
      <protection/>
    </xf>
    <xf numFmtId="3" fontId="9" fillId="0" borderId="41" xfId="62" applyNumberFormat="1" applyFont="1" applyBorder="1" applyAlignment="1">
      <alignment horizontal="right" vertical="center"/>
      <protection/>
    </xf>
    <xf numFmtId="3" fontId="9" fillId="0" borderId="39" xfId="62" applyNumberFormat="1" applyFont="1" applyBorder="1" applyAlignment="1">
      <alignment horizontal="right" vertical="center"/>
      <protection/>
    </xf>
    <xf numFmtId="17" fontId="2" fillId="0" borderId="31" xfId="62" applyNumberFormat="1" applyFont="1" applyBorder="1" applyAlignment="1">
      <alignment horizontal="center" vertical="center"/>
      <protection/>
    </xf>
    <xf numFmtId="172" fontId="6" fillId="0" borderId="22" xfId="0" applyNumberFormat="1" applyFont="1" applyBorder="1" applyAlignment="1">
      <alignment/>
    </xf>
    <xf numFmtId="0" fontId="6" fillId="0" borderId="13" xfId="64" applyFont="1" applyBorder="1" applyAlignment="1">
      <alignment horizontal="center"/>
      <protection/>
    </xf>
    <xf numFmtId="0" fontId="2" fillId="0" borderId="34" xfId="64" applyFont="1" applyBorder="1" applyAlignment="1">
      <alignment horizontal="center" vertical="top"/>
      <protection/>
    </xf>
    <xf numFmtId="0" fontId="6" fillId="0" borderId="35" xfId="64" applyFont="1" applyBorder="1">
      <alignment/>
      <protection/>
    </xf>
    <xf numFmtId="0" fontId="6" fillId="0" borderId="44" xfId="64" applyFont="1" applyBorder="1" applyAlignment="1">
      <alignment horizontal="left"/>
      <protection/>
    </xf>
    <xf numFmtId="0" fontId="6" fillId="0" borderId="34" xfId="64" applyFont="1" applyBorder="1" applyAlignment="1">
      <alignment horizontal="left"/>
      <protection/>
    </xf>
    <xf numFmtId="0" fontId="6" fillId="0" borderId="34" xfId="64" applyFont="1" applyBorder="1">
      <alignment/>
      <protection/>
    </xf>
    <xf numFmtId="172" fontId="2" fillId="0" borderId="17" xfId="64" applyNumberFormat="1" applyFont="1" applyBorder="1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6" fillId="0" borderId="0" xfId="0" applyNumberFormat="1" applyFont="1" applyBorder="1" applyAlignment="1">
      <alignment horizontal="right"/>
    </xf>
    <xf numFmtId="3" fontId="9" fillId="0" borderId="41" xfId="62" applyNumberFormat="1" applyFont="1" applyBorder="1" applyAlignment="1">
      <alignment vertical="center"/>
      <protection/>
    </xf>
    <xf numFmtId="3" fontId="9" fillId="0" borderId="39" xfId="62" applyNumberFormat="1" applyFont="1" applyBorder="1" applyAlignment="1">
      <alignment vertical="center"/>
      <protection/>
    </xf>
    <xf numFmtId="3" fontId="2" fillId="0" borderId="11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/>
    </xf>
    <xf numFmtId="0" fontId="6" fillId="0" borderId="44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34" xfId="0" applyFont="1" applyBorder="1" applyAlignment="1">
      <alignment/>
    </xf>
    <xf numFmtId="172" fontId="2" fillId="0" borderId="17" xfId="0" applyNumberFormat="1" applyFont="1" applyBorder="1" applyAlignment="1">
      <alignment horizontal="center" vertical="center"/>
    </xf>
    <xf numFmtId="0" fontId="6" fillId="0" borderId="13" xfId="61" applyFont="1" applyBorder="1" applyAlignment="1">
      <alignment horizontal="center"/>
      <protection/>
    </xf>
    <xf numFmtId="0" fontId="8" fillId="0" borderId="34" xfId="61" applyFont="1" applyBorder="1" applyAlignment="1">
      <alignment horizontal="centerContinuous" vertical="center"/>
      <protection/>
    </xf>
    <xf numFmtId="0" fontId="6" fillId="0" borderId="35" xfId="61" applyFont="1" applyBorder="1">
      <alignment/>
      <protection/>
    </xf>
    <xf numFmtId="0" fontId="6" fillId="0" borderId="44" xfId="61" applyFont="1" applyBorder="1" applyAlignment="1">
      <alignment horizontal="left"/>
      <protection/>
    </xf>
    <xf numFmtId="0" fontId="6" fillId="0" borderId="34" xfId="61" applyFont="1" applyBorder="1" applyAlignment="1">
      <alignment horizontal="left"/>
      <protection/>
    </xf>
    <xf numFmtId="0" fontId="6" fillId="0" borderId="34" xfId="61" applyFont="1" applyBorder="1">
      <alignment/>
      <protection/>
    </xf>
    <xf numFmtId="3" fontId="6" fillId="0" borderId="19" xfId="61" applyNumberFormat="1" applyFont="1" applyBorder="1" applyAlignment="1">
      <alignment horizontal="right"/>
      <protection/>
    </xf>
    <xf numFmtId="0" fontId="2" fillId="0" borderId="13" xfId="62" applyFont="1" applyBorder="1" applyAlignment="1">
      <alignment horizontal="center" wrapText="1"/>
      <protection/>
    </xf>
    <xf numFmtId="0" fontId="2" fillId="0" borderId="34" xfId="62" applyFont="1" applyBorder="1" applyAlignment="1" quotePrefix="1">
      <alignment horizontal="center" wrapText="1"/>
      <protection/>
    </xf>
    <xf numFmtId="0" fontId="2" fillId="0" borderId="34" xfId="62" applyFont="1" applyBorder="1" applyAlignment="1" quotePrefix="1">
      <alignment horizontal="center"/>
      <protection/>
    </xf>
    <xf numFmtId="0" fontId="2" fillId="0" borderId="35" xfId="62" applyFont="1" applyBorder="1" applyAlignment="1">
      <alignment/>
      <protection/>
    </xf>
    <xf numFmtId="0" fontId="6" fillId="0" borderId="10" xfId="63" applyFont="1" applyBorder="1" applyAlignment="1">
      <alignment/>
      <protection/>
    </xf>
    <xf numFmtId="0" fontId="6" fillId="0" borderId="0" xfId="63" applyFont="1" applyBorder="1" applyAlignment="1">
      <alignment/>
      <protection/>
    </xf>
    <xf numFmtId="17" fontId="2" fillId="0" borderId="35" xfId="0" applyNumberFormat="1" applyFont="1" applyBorder="1" applyAlignment="1">
      <alignment horizontal="center" vertical="top"/>
    </xf>
    <xf numFmtId="0" fontId="6" fillId="0" borderId="44" xfId="65" applyFont="1" applyBorder="1" applyAlignment="1">
      <alignment horizontal="left"/>
      <protection/>
    </xf>
    <xf numFmtId="0" fontId="6" fillId="0" borderId="34" xfId="65" applyFont="1" applyBorder="1" applyAlignment="1">
      <alignment horizontal="left"/>
      <protection/>
    </xf>
    <xf numFmtId="0" fontId="6" fillId="0" borderId="34" xfId="65" applyFont="1" applyBorder="1">
      <alignment/>
      <protection/>
    </xf>
    <xf numFmtId="172" fontId="2" fillId="0" borderId="17" xfId="65" applyNumberFormat="1" applyFont="1" applyBorder="1" applyAlignment="1">
      <alignment horizontal="center" vertical="center"/>
      <protection/>
    </xf>
    <xf numFmtId="3" fontId="6" fillId="0" borderId="43" xfId="61" applyNumberFormat="1" applyFont="1" applyBorder="1" applyAlignment="1">
      <alignment horizontal="right" vertical="center"/>
      <protection/>
    </xf>
    <xf numFmtId="0" fontId="14" fillId="0" borderId="0" xfId="60" applyFont="1">
      <alignment/>
      <protection/>
    </xf>
    <xf numFmtId="178" fontId="7" fillId="0" borderId="0" xfId="60" applyNumberFormat="1" applyFont="1" applyAlignment="1">
      <alignment/>
      <protection/>
    </xf>
    <xf numFmtId="189" fontId="6" fillId="0" borderId="20" xfId="62" applyNumberFormat="1" applyFont="1" applyBorder="1" applyAlignment="1">
      <alignment horizontal="right"/>
      <protection/>
    </xf>
    <xf numFmtId="189" fontId="6" fillId="0" borderId="0" xfId="62" applyNumberFormat="1" applyFont="1" applyBorder="1" applyAlignment="1">
      <alignment horizontal="right"/>
      <protection/>
    </xf>
    <xf numFmtId="189" fontId="6" fillId="0" borderId="0" xfId="62" applyNumberFormat="1" applyFont="1" applyBorder="1" applyAlignment="1">
      <alignment horizontal="center"/>
      <protection/>
    </xf>
    <xf numFmtId="0" fontId="9" fillId="0" borderId="39" xfId="62" applyFont="1" applyBorder="1" applyAlignment="1">
      <alignment horizontal="right" vertical="center"/>
      <protection/>
    </xf>
    <xf numFmtId="189" fontId="2" fillId="0" borderId="10" xfId="62" applyNumberFormat="1" applyFont="1" applyBorder="1" applyAlignment="1">
      <alignment horizontal="right" vertical="center"/>
      <protection/>
    </xf>
    <xf numFmtId="3" fontId="2" fillId="0" borderId="22" xfId="62" applyNumberFormat="1" applyFont="1" applyBorder="1" applyAlignment="1">
      <alignment horizontal="right" vertical="center"/>
      <protection/>
    </xf>
    <xf numFmtId="198" fontId="15" fillId="0" borderId="0" xfId="0" applyNumberFormat="1" applyFont="1" applyBorder="1" applyAlignment="1">
      <alignment/>
    </xf>
    <xf numFmtId="181" fontId="15" fillId="0" borderId="0" xfId="0" applyNumberFormat="1" applyFont="1" applyBorder="1" applyAlignment="1">
      <alignment/>
    </xf>
    <xf numFmtId="17" fontId="6" fillId="0" borderId="25" xfId="62" applyNumberFormat="1" applyFont="1" applyBorder="1" applyAlignment="1">
      <alignment horizontal="centerContinuous" vertical="center"/>
      <protection/>
    </xf>
    <xf numFmtId="0" fontId="17" fillId="0" borderId="0" xfId="58" applyFont="1" applyBorder="1" applyAlignment="1">
      <alignment/>
      <protection/>
    </xf>
    <xf numFmtId="192" fontId="6" fillId="0" borderId="0" xfId="64" applyNumberFormat="1" applyFont="1">
      <alignment/>
      <protection/>
    </xf>
    <xf numFmtId="189" fontId="6" fillId="0" borderId="0" xfId="64" applyNumberFormat="1" applyFont="1">
      <alignment/>
      <protection/>
    </xf>
    <xf numFmtId="0" fontId="6" fillId="0" borderId="34" xfId="60" applyFont="1" applyBorder="1" applyAlignment="1">
      <alignment horizontal="left" indent="1"/>
      <protection/>
    </xf>
    <xf numFmtId="0" fontId="6" fillId="0" borderId="34" xfId="60" applyFont="1" applyBorder="1" applyAlignment="1">
      <alignment horizontal="left"/>
      <protection/>
    </xf>
    <xf numFmtId="177" fontId="6" fillId="0" borderId="0" xfId="60" applyNumberFormat="1" applyFont="1" applyBorder="1" applyAlignment="1">
      <alignment horizontal="right" shrinkToFit="1"/>
      <protection/>
    </xf>
    <xf numFmtId="177" fontId="6" fillId="0" borderId="0" xfId="60" applyNumberFormat="1" applyFont="1" applyBorder="1" applyAlignment="1">
      <alignment shrinkToFit="1"/>
      <protection/>
    </xf>
    <xf numFmtId="197" fontId="6" fillId="0" borderId="0" xfId="60" applyNumberFormat="1" applyFont="1" applyBorder="1" applyAlignment="1">
      <alignment horizontal="right" shrinkToFit="1"/>
      <protection/>
    </xf>
    <xf numFmtId="179" fontId="6" fillId="0" borderId="0" xfId="60" applyNumberFormat="1" applyFont="1" applyBorder="1" applyAlignment="1">
      <alignment horizontal="right" shrinkToFit="1"/>
      <protection/>
    </xf>
    <xf numFmtId="185" fontId="6" fillId="0" borderId="0" xfId="60" applyNumberFormat="1" applyFont="1" applyBorder="1" applyAlignment="1">
      <alignment horizontal="right" shrinkToFit="1"/>
      <protection/>
    </xf>
    <xf numFmtId="196" fontId="6" fillId="0" borderId="0" xfId="60" applyNumberFormat="1" applyFont="1" applyBorder="1" applyAlignment="1">
      <alignment horizontal="right" shrinkToFit="1"/>
      <protection/>
    </xf>
    <xf numFmtId="182" fontId="6" fillId="0" borderId="0" xfId="60" applyNumberFormat="1" applyFont="1" applyBorder="1" applyAlignment="1">
      <alignment horizontal="right" shrinkToFit="1"/>
      <protection/>
    </xf>
    <xf numFmtId="180" fontId="6" fillId="0" borderId="0" xfId="60" applyNumberFormat="1" applyFont="1" applyBorder="1" applyAlignment="1">
      <alignment horizontal="right" shrinkToFit="1"/>
      <protection/>
    </xf>
    <xf numFmtId="184" fontId="6" fillId="0" borderId="0" xfId="60" applyNumberFormat="1" applyFont="1" applyBorder="1" applyAlignment="1">
      <alignment horizontal="right" shrinkToFit="1"/>
      <protection/>
    </xf>
    <xf numFmtId="176" fontId="6" fillId="0" borderId="39" xfId="60" applyNumberFormat="1" applyFont="1" applyBorder="1" applyAlignment="1">
      <alignment horizontal="right" shrinkToFit="1"/>
      <protection/>
    </xf>
    <xf numFmtId="3" fontId="6" fillId="0" borderId="39" xfId="60" applyNumberFormat="1" applyFont="1" applyBorder="1" applyAlignment="1">
      <alignment shrinkToFit="1"/>
      <protection/>
    </xf>
    <xf numFmtId="3" fontId="6" fillId="0" borderId="42" xfId="60" applyNumberFormat="1" applyFont="1" applyBorder="1" applyAlignment="1">
      <alignment shrinkToFit="1"/>
      <protection/>
    </xf>
    <xf numFmtId="193" fontId="2" fillId="0" borderId="13" xfId="64" applyNumberFormat="1" applyFont="1" applyBorder="1" applyAlignment="1">
      <alignment horizontal="centerContinuous" vertical="center"/>
      <protection/>
    </xf>
    <xf numFmtId="17" fontId="2" fillId="0" borderId="45" xfId="64" applyNumberFormat="1" applyFont="1" applyBorder="1" applyAlignment="1">
      <alignment horizontal="center"/>
      <protection/>
    </xf>
    <xf numFmtId="17" fontId="2" fillId="0" borderId="46" xfId="64" applyNumberFormat="1" applyFont="1" applyBorder="1" applyAlignment="1">
      <alignment horizontal="center" vertical="top"/>
      <protection/>
    </xf>
    <xf numFmtId="192" fontId="6" fillId="0" borderId="47" xfId="64" applyNumberFormat="1" applyFont="1" applyBorder="1" applyAlignment="1">
      <alignment horizontal="right"/>
      <protection/>
    </xf>
    <xf numFmtId="199" fontId="6" fillId="0" borderId="47" xfId="64" applyNumberFormat="1" applyFont="1" applyBorder="1" applyAlignment="1">
      <alignment horizontal="right"/>
      <protection/>
    </xf>
    <xf numFmtId="192" fontId="2" fillId="0" borderId="48" xfId="64" applyNumberFormat="1" applyFont="1" applyBorder="1" applyAlignment="1">
      <alignment horizontal="right" vertical="center"/>
      <protection/>
    </xf>
    <xf numFmtId="189" fontId="2" fillId="0" borderId="49" xfId="64" applyNumberFormat="1" applyFont="1" applyBorder="1" applyAlignment="1">
      <alignment horizontal="right" vertical="center"/>
      <protection/>
    </xf>
    <xf numFmtId="195" fontId="6" fillId="0" borderId="19" xfId="61" applyNumberFormat="1" applyFont="1" applyBorder="1" applyAlignment="1">
      <alignment horizontal="right"/>
      <protection/>
    </xf>
    <xf numFmtId="186" fontId="6" fillId="0" borderId="28" xfId="64" applyNumberFormat="1" applyFont="1" applyBorder="1" applyAlignment="1">
      <alignment horizontal="right"/>
      <protection/>
    </xf>
    <xf numFmtId="3" fontId="6" fillId="0" borderId="0" xfId="63" applyNumberFormat="1" applyFont="1" applyBorder="1">
      <alignment/>
      <protection/>
    </xf>
    <xf numFmtId="3" fontId="14" fillId="0" borderId="12" xfId="63" applyNumberFormat="1" applyFont="1" applyBorder="1" applyAlignment="1">
      <alignment horizontal="center" vertical="center"/>
      <protection/>
    </xf>
    <xf numFmtId="3" fontId="14" fillId="0" borderId="0" xfId="63" applyNumberFormat="1" applyFont="1">
      <alignment/>
      <protection/>
    </xf>
    <xf numFmtId="3" fontId="14" fillId="0" borderId="10" xfId="63" applyNumberFormat="1" applyFont="1" applyBorder="1">
      <alignment/>
      <protection/>
    </xf>
    <xf numFmtId="198" fontId="16" fillId="0" borderId="0" xfId="0" applyNumberFormat="1" applyFont="1" applyBorder="1" applyAlignment="1">
      <alignment horizontal="right" vertical="center"/>
    </xf>
    <xf numFmtId="187" fontId="6" fillId="0" borderId="19" xfId="0" applyNumberFormat="1" applyFont="1" applyBorder="1" applyAlignment="1">
      <alignment/>
    </xf>
    <xf numFmtId="17" fontId="6" fillId="0" borderId="11" xfId="65" applyNumberFormat="1" applyFont="1" applyBorder="1" applyAlignment="1">
      <alignment horizontal="centerContinuous" vertical="center"/>
      <protection/>
    </xf>
    <xf numFmtId="174" fontId="6" fillId="0" borderId="0" xfId="65" applyNumberFormat="1" applyFont="1" applyBorder="1" applyAlignment="1">
      <alignment/>
      <protection/>
    </xf>
    <xf numFmtId="3" fontId="2" fillId="0" borderId="17" xfId="65" applyNumberFormat="1" applyFont="1" applyBorder="1" applyAlignment="1">
      <alignment vertical="center"/>
      <protection/>
    </xf>
    <xf numFmtId="0" fontId="2" fillId="0" borderId="35" xfId="0" applyFont="1" applyBorder="1" applyAlignment="1">
      <alignment horizontal="center" vertical="top"/>
    </xf>
    <xf numFmtId="0" fontId="2" fillId="0" borderId="50" xfId="0" applyFont="1" applyBorder="1" applyAlignment="1">
      <alignment horizontal="centerContinuous" vertical="center"/>
    </xf>
    <xf numFmtId="172" fontId="6" fillId="0" borderId="18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0" fontId="2" fillId="0" borderId="17" xfId="61" applyFont="1" applyBorder="1" applyAlignment="1">
      <alignment horizontal="center" vertical="center"/>
      <protection/>
    </xf>
    <xf numFmtId="3" fontId="6" fillId="0" borderId="10" xfId="61" applyNumberFormat="1" applyFont="1" applyBorder="1" applyAlignment="1">
      <alignment horizontal="right"/>
      <protection/>
    </xf>
    <xf numFmtId="0" fontId="2" fillId="0" borderId="17" xfId="61" applyFont="1" applyBorder="1" applyAlignment="1">
      <alignment horizontal="centerContinuous" vertical="center"/>
      <protection/>
    </xf>
    <xf numFmtId="17" fontId="6" fillId="0" borderId="48" xfId="61" applyNumberFormat="1" applyFont="1" applyBorder="1" applyAlignment="1">
      <alignment horizontal="centerContinuous" vertical="center"/>
      <protection/>
    </xf>
    <xf numFmtId="17" fontId="6" fillId="0" borderId="38" xfId="62" applyNumberFormat="1" applyFont="1" applyBorder="1" applyAlignment="1">
      <alignment horizontal="centerContinuous" vertical="center"/>
      <protection/>
    </xf>
    <xf numFmtId="3" fontId="6" fillId="0" borderId="34" xfId="62" applyNumberFormat="1" applyFont="1" applyBorder="1" applyAlignment="1">
      <alignment horizontal="right"/>
      <protection/>
    </xf>
    <xf numFmtId="3" fontId="6" fillId="0" borderId="18" xfId="62" applyNumberFormat="1" applyFont="1" applyBorder="1" applyAlignment="1">
      <alignment horizontal="right"/>
      <protection/>
    </xf>
    <xf numFmtId="3" fontId="2" fillId="0" borderId="13" xfId="62" applyNumberFormat="1" applyFont="1" applyBorder="1" applyAlignment="1">
      <alignment horizontal="right" vertical="center"/>
      <protection/>
    </xf>
    <xf numFmtId="3" fontId="2" fillId="0" borderId="14" xfId="62" applyNumberFormat="1" applyFont="1" applyBorder="1" applyAlignment="1">
      <alignment horizontal="right" vertical="center"/>
      <protection/>
    </xf>
    <xf numFmtId="3" fontId="9" fillId="0" borderId="42" xfId="62" applyNumberFormat="1" applyFont="1" applyBorder="1" applyAlignment="1">
      <alignment horizontal="right" vertical="center"/>
      <protection/>
    </xf>
    <xf numFmtId="3" fontId="6" fillId="0" borderId="39" xfId="62" applyNumberFormat="1" applyFont="1" applyBorder="1" applyAlignment="1">
      <alignment horizontal="right"/>
      <protection/>
    </xf>
    <xf numFmtId="17" fontId="6" fillId="0" borderId="51" xfId="62" applyNumberFormat="1" applyFont="1" applyBorder="1" applyAlignment="1">
      <alignment horizontal="centerContinuous" vertical="center"/>
      <protection/>
    </xf>
    <xf numFmtId="0" fontId="6" fillId="0" borderId="38" xfId="62" applyFont="1" applyBorder="1" applyAlignment="1">
      <alignment horizontal="centerContinuous" vertical="center"/>
      <protection/>
    </xf>
    <xf numFmtId="3" fontId="6" fillId="0" borderId="14" xfId="62" applyNumberFormat="1" applyFont="1" applyBorder="1" applyAlignment="1">
      <alignment horizontal="right"/>
      <protection/>
    </xf>
    <xf numFmtId="3" fontId="9" fillId="0" borderId="35" xfId="62" applyNumberFormat="1" applyFont="1" applyBorder="1" applyAlignment="1">
      <alignment vertical="center"/>
      <protection/>
    </xf>
    <xf numFmtId="3" fontId="14" fillId="0" borderId="48" xfId="63" applyNumberFormat="1" applyFont="1" applyBorder="1" applyAlignment="1">
      <alignment horizontal="center" vertical="center"/>
      <protection/>
    </xf>
    <xf numFmtId="0" fontId="6" fillId="0" borderId="51" xfId="0" applyFont="1" applyBorder="1" applyAlignment="1">
      <alignment horizontal="centerContinuous" vertical="center"/>
    </xf>
    <xf numFmtId="3" fontId="6" fillId="0" borderId="52" xfId="0" applyNumberFormat="1" applyFont="1" applyBorder="1" applyAlignment="1">
      <alignment horizontal="center"/>
    </xf>
    <xf numFmtId="3" fontId="6" fillId="0" borderId="47" xfId="0" applyNumberFormat="1" applyFont="1" applyBorder="1" applyAlignment="1">
      <alignment horizontal="center"/>
    </xf>
    <xf numFmtId="0" fontId="2" fillId="0" borderId="53" xfId="0" applyFont="1" applyBorder="1" applyAlignment="1">
      <alignment horizontal="centerContinuous" vertical="center"/>
    </xf>
    <xf numFmtId="0" fontId="2" fillId="0" borderId="54" xfId="0" applyFont="1" applyBorder="1" applyAlignment="1">
      <alignment horizontal="centerContinuous" vertical="center"/>
    </xf>
    <xf numFmtId="0" fontId="6" fillId="0" borderId="26" xfId="0" applyFont="1" applyBorder="1" applyAlignment="1">
      <alignment horizontal="centerContinuous" vertical="center"/>
    </xf>
    <xf numFmtId="3" fontId="6" fillId="0" borderId="55" xfId="0" applyNumberFormat="1" applyFont="1" applyBorder="1" applyAlignment="1">
      <alignment horizontal="center"/>
    </xf>
    <xf numFmtId="3" fontId="6" fillId="0" borderId="28" xfId="0" applyNumberFormat="1" applyFont="1" applyBorder="1" applyAlignment="1">
      <alignment horizontal="center"/>
    </xf>
    <xf numFmtId="174" fontId="6" fillId="0" borderId="19" xfId="65" applyNumberFormat="1" applyFont="1" applyBorder="1" applyAlignment="1">
      <alignment horizontal="right"/>
      <protection/>
    </xf>
    <xf numFmtId="174" fontId="6" fillId="0" borderId="20" xfId="65" applyNumberFormat="1" applyFont="1" applyBorder="1" applyAlignment="1">
      <alignment horizontal="right"/>
      <protection/>
    </xf>
    <xf numFmtId="198" fontId="7" fillId="0" borderId="11" xfId="0" applyNumberFormat="1" applyFont="1" applyBorder="1" applyAlignment="1">
      <alignment horizontal="right" vertical="center"/>
    </xf>
    <xf numFmtId="3" fontId="2" fillId="0" borderId="15" xfId="65" applyNumberFormat="1" applyFont="1" applyBorder="1" applyAlignment="1">
      <alignment vertical="center"/>
      <protection/>
    </xf>
    <xf numFmtId="172" fontId="2" fillId="0" borderId="11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Continuous" vertical="center"/>
    </xf>
    <xf numFmtId="3" fontId="6" fillId="0" borderId="34" xfId="0" applyNumberFormat="1" applyFont="1" applyBorder="1" applyAlignment="1">
      <alignment horizontal="right"/>
    </xf>
    <xf numFmtId="175" fontId="6" fillId="0" borderId="34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 vertical="center"/>
    </xf>
    <xf numFmtId="175" fontId="6" fillId="0" borderId="0" xfId="0" applyNumberFormat="1" applyFont="1" applyBorder="1" applyAlignment="1">
      <alignment horizontal="right"/>
    </xf>
    <xf numFmtId="195" fontId="6" fillId="0" borderId="34" xfId="0" applyNumberFormat="1" applyFont="1" applyBorder="1" applyAlignment="1">
      <alignment horizontal="center"/>
    </xf>
    <xf numFmtId="175" fontId="6" fillId="0" borderId="34" xfId="0" applyNumberFormat="1" applyFont="1" applyBorder="1" applyAlignment="1">
      <alignment horizontal="center"/>
    </xf>
    <xf numFmtId="175" fontId="6" fillId="0" borderId="28" xfId="0" applyNumberFormat="1" applyFont="1" applyBorder="1" applyAlignment="1">
      <alignment horizontal="center"/>
    </xf>
    <xf numFmtId="1" fontId="2" fillId="0" borderId="47" xfId="63" applyNumberFormat="1" applyFont="1" applyBorder="1" applyAlignment="1">
      <alignment horizontal="center"/>
      <protection/>
    </xf>
    <xf numFmtId="3" fontId="2" fillId="0" borderId="18" xfId="63" applyNumberFormat="1" applyFont="1" applyBorder="1" applyAlignment="1">
      <alignment horizontal="center"/>
      <protection/>
    </xf>
    <xf numFmtId="3" fontId="6" fillId="0" borderId="47" xfId="63" applyNumberFormat="1" applyFont="1" applyBorder="1" applyAlignment="1">
      <alignment horizontal="center"/>
      <protection/>
    </xf>
    <xf numFmtId="3" fontId="6" fillId="0" borderId="18" xfId="63" applyNumberFormat="1" applyFont="1" applyBorder="1" applyAlignment="1">
      <alignment horizontal="center"/>
      <protection/>
    </xf>
    <xf numFmtId="1" fontId="6" fillId="0" borderId="47" xfId="63" applyNumberFormat="1" applyFont="1" applyBorder="1" applyAlignment="1">
      <alignment horizontal="center"/>
      <protection/>
    </xf>
    <xf numFmtId="3" fontId="6" fillId="0" borderId="18" xfId="63" applyNumberFormat="1" applyFont="1" applyFill="1" applyBorder="1" applyAlignment="1">
      <alignment horizontal="center"/>
      <protection/>
    </xf>
    <xf numFmtId="3" fontId="6" fillId="0" borderId="47" xfId="63" applyNumberFormat="1" applyFont="1" applyFill="1" applyBorder="1" applyAlignment="1">
      <alignment horizontal="center"/>
      <protection/>
    </xf>
    <xf numFmtId="3" fontId="6" fillId="0" borderId="46" xfId="63" applyNumberFormat="1" applyFont="1" applyBorder="1" applyAlignment="1">
      <alignment horizontal="right"/>
      <protection/>
    </xf>
    <xf numFmtId="3" fontId="6" fillId="0" borderId="42" xfId="63" applyNumberFormat="1" applyFont="1" applyBorder="1" applyAlignment="1">
      <alignment horizontal="right"/>
      <protection/>
    </xf>
    <xf numFmtId="198" fontId="2" fillId="0" borderId="16" xfId="0" applyNumberFormat="1" applyFont="1" applyBorder="1" applyAlignment="1">
      <alignment horizontal="right" vertical="center"/>
    </xf>
    <xf numFmtId="198" fontId="2" fillId="0" borderId="15" xfId="0" applyNumberFormat="1" applyFont="1" applyBorder="1" applyAlignment="1">
      <alignment horizontal="right" vertical="center"/>
    </xf>
    <xf numFmtId="198" fontId="2" fillId="0" borderId="11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center" vertical="center"/>
    </xf>
    <xf numFmtId="183" fontId="2" fillId="0" borderId="49" xfId="0" applyNumberFormat="1" applyFont="1" applyBorder="1" applyAlignment="1">
      <alignment horizontal="center" vertical="center"/>
    </xf>
    <xf numFmtId="203" fontId="6" fillId="0" borderId="0" xfId="60" applyNumberFormat="1" applyFont="1" applyBorder="1" applyAlignment="1">
      <alignment horizontal="right" shrinkToFit="1"/>
      <protection/>
    </xf>
    <xf numFmtId="0" fontId="4" fillId="0" borderId="14" xfId="60" applyNumberFormat="1" applyFont="1" applyBorder="1" applyAlignment="1" applyProtection="1">
      <alignment horizontal="right"/>
      <protection/>
    </xf>
    <xf numFmtId="177" fontId="6" fillId="0" borderId="18" xfId="60" applyNumberFormat="1" applyFont="1" applyBorder="1" applyAlignment="1">
      <alignment horizontal="right" shrinkToFit="1"/>
      <protection/>
    </xf>
    <xf numFmtId="177" fontId="6" fillId="0" borderId="18" xfId="60" applyNumberFormat="1" applyFont="1" applyBorder="1" applyAlignment="1">
      <alignment shrinkToFit="1"/>
      <protection/>
    </xf>
    <xf numFmtId="180" fontId="6" fillId="0" borderId="18" xfId="60" applyNumberFormat="1" applyFont="1" applyBorder="1" applyAlignment="1">
      <alignment horizontal="right" shrinkToFit="1"/>
      <protection/>
    </xf>
    <xf numFmtId="184" fontId="6" fillId="0" borderId="18" xfId="60" applyNumberFormat="1" applyFont="1" applyBorder="1" applyAlignment="1">
      <alignment horizontal="right" shrinkToFit="1"/>
      <protection/>
    </xf>
    <xf numFmtId="182" fontId="6" fillId="0" borderId="18" xfId="60" applyNumberFormat="1" applyFont="1" applyBorder="1" applyAlignment="1">
      <alignment horizontal="right" shrinkToFit="1"/>
      <protection/>
    </xf>
    <xf numFmtId="17" fontId="6" fillId="0" borderId="25" xfId="0" applyNumberFormat="1" applyFont="1" applyBorder="1" applyAlignment="1">
      <alignment horizontal="center" vertical="center"/>
    </xf>
    <xf numFmtId="0" fontId="37" fillId="0" borderId="0" xfId="59" applyFont="1" applyBorder="1" applyAlignment="1">
      <alignment horizontal="left"/>
      <protection/>
    </xf>
    <xf numFmtId="0" fontId="38" fillId="0" borderId="0" xfId="59" applyFont="1" applyBorder="1">
      <alignment/>
      <protection/>
    </xf>
    <xf numFmtId="0" fontId="23" fillId="0" borderId="0" xfId="59" applyFont="1">
      <alignment/>
      <protection/>
    </xf>
    <xf numFmtId="0" fontId="39" fillId="0" borderId="0" xfId="59" applyFont="1" applyBorder="1" applyAlignment="1">
      <alignment horizontal="left"/>
      <protection/>
    </xf>
    <xf numFmtId="0" fontId="40" fillId="0" borderId="0" xfId="59" applyFont="1" applyBorder="1">
      <alignment/>
      <protection/>
    </xf>
    <xf numFmtId="0" fontId="41" fillId="0" borderId="0" xfId="59" applyFont="1" applyBorder="1" applyAlignment="1">
      <alignment horizontal="left"/>
      <protection/>
    </xf>
    <xf numFmtId="0" fontId="42" fillId="0" borderId="0" xfId="59" applyFont="1" applyBorder="1">
      <alignment/>
      <protection/>
    </xf>
    <xf numFmtId="0" fontId="43" fillId="0" borderId="0" xfId="59" applyFont="1">
      <alignment/>
      <protection/>
    </xf>
    <xf numFmtId="0" fontId="44" fillId="0" borderId="0" xfId="59" applyFont="1" applyAlignment="1">
      <alignment horizontal="right"/>
      <protection/>
    </xf>
    <xf numFmtId="0" fontId="43" fillId="0" borderId="56" xfId="59" applyFont="1" applyBorder="1" applyAlignment="1">
      <alignment horizontal="center" vertical="center"/>
      <protection/>
    </xf>
    <xf numFmtId="0" fontId="43" fillId="0" borderId="57" xfId="59" applyFont="1" applyBorder="1" applyAlignment="1">
      <alignment horizontal="center" vertical="center"/>
      <protection/>
    </xf>
    <xf numFmtId="0" fontId="41" fillId="0" borderId="0" xfId="59" applyFont="1" applyBorder="1" applyAlignment="1">
      <alignment horizontal="left" vertical="center"/>
      <protection/>
    </xf>
    <xf numFmtId="0" fontId="43" fillId="0" borderId="19" xfId="59" applyFont="1" applyBorder="1" applyAlignment="1">
      <alignment vertical="center"/>
      <protection/>
    </xf>
    <xf numFmtId="0" fontId="43" fillId="0" borderId="0" xfId="59" applyFont="1" applyBorder="1" applyAlignment="1">
      <alignment vertical="center"/>
      <protection/>
    </xf>
    <xf numFmtId="177" fontId="41" fillId="0" borderId="27" xfId="59" applyNumberFormat="1" applyFont="1" applyBorder="1" applyAlignment="1">
      <alignment vertical="center"/>
      <protection/>
    </xf>
    <xf numFmtId="177" fontId="41" fillId="0" borderId="20" xfId="59" applyNumberFormat="1" applyFont="1" applyBorder="1" applyAlignment="1">
      <alignment vertical="center"/>
      <protection/>
    </xf>
    <xf numFmtId="0" fontId="43" fillId="0" borderId="27" xfId="59" applyFont="1" applyBorder="1" applyAlignment="1">
      <alignment vertical="center"/>
      <protection/>
    </xf>
    <xf numFmtId="0" fontId="46" fillId="0" borderId="0" xfId="59" applyFont="1" applyBorder="1" applyAlignment="1">
      <alignment horizontal="left" vertical="center"/>
      <protection/>
    </xf>
    <xf numFmtId="184" fontId="46" fillId="0" borderId="27" xfId="59" applyNumberFormat="1" applyFont="1" applyBorder="1" applyAlignment="1" quotePrefix="1">
      <alignment horizontal="right" vertical="center"/>
      <protection/>
    </xf>
    <xf numFmtId="184" fontId="46" fillId="0" borderId="20" xfId="59" applyNumberFormat="1" applyFont="1" applyBorder="1" applyAlignment="1" quotePrefix="1">
      <alignment horizontal="right" vertical="center"/>
      <protection/>
    </xf>
    <xf numFmtId="195" fontId="46" fillId="0" borderId="0" xfId="59" applyNumberFormat="1" applyFont="1" applyBorder="1" applyAlignment="1">
      <alignment horizontal="left" vertical="center"/>
      <protection/>
    </xf>
    <xf numFmtId="0" fontId="43" fillId="0" borderId="0" xfId="59" applyFont="1" applyBorder="1" applyAlignment="1">
      <alignment horizontal="left" vertical="center"/>
      <protection/>
    </xf>
    <xf numFmtId="0" fontId="47" fillId="0" borderId="0" xfId="59" applyFont="1" applyAlignment="1">
      <alignment horizontal="left"/>
      <protection/>
    </xf>
    <xf numFmtId="0" fontId="23" fillId="0" borderId="0" xfId="59">
      <alignment/>
      <protection/>
    </xf>
    <xf numFmtId="0" fontId="23" fillId="0" borderId="0" xfId="59" applyFont="1" applyBorder="1">
      <alignment/>
      <protection/>
    </xf>
    <xf numFmtId="0" fontId="48" fillId="0" borderId="0" xfId="59" applyFont="1" applyAlignment="1" quotePrefix="1">
      <alignment horizontal="left"/>
      <protection/>
    </xf>
    <xf numFmtId="0" fontId="49" fillId="0" borderId="0" xfId="59" applyFont="1">
      <alignment/>
      <protection/>
    </xf>
    <xf numFmtId="0" fontId="44" fillId="0" borderId="0" xfId="59" applyFont="1">
      <alignment/>
      <protection/>
    </xf>
    <xf numFmtId="0" fontId="1" fillId="0" borderId="0" xfId="59" applyFont="1">
      <alignment/>
      <protection/>
    </xf>
    <xf numFmtId="0" fontId="56" fillId="0" borderId="0" xfId="59" applyFont="1">
      <alignment/>
      <protection/>
    </xf>
    <xf numFmtId="0" fontId="50" fillId="0" borderId="0" xfId="59" applyFont="1">
      <alignment/>
      <protection/>
    </xf>
    <xf numFmtId="0" fontId="23" fillId="0" borderId="0" xfId="59" applyFont="1" applyAlignment="1">
      <alignment horizontal="right"/>
      <protection/>
    </xf>
    <xf numFmtId="0" fontId="23" fillId="0" borderId="57" xfId="59" applyFont="1" applyBorder="1" applyAlignment="1">
      <alignment horizontal="center"/>
      <protection/>
    </xf>
    <xf numFmtId="0" fontId="44" fillId="0" borderId="56" xfId="59" applyFont="1" applyBorder="1" applyAlignment="1">
      <alignment horizontal="center" vertical="center"/>
      <protection/>
    </xf>
    <xf numFmtId="177" fontId="55" fillId="0" borderId="58" xfId="59" applyNumberFormat="1" applyFont="1" applyBorder="1" applyAlignment="1">
      <alignment vertical="center"/>
      <protection/>
    </xf>
    <xf numFmtId="177" fontId="55" fillId="0" borderId="59" xfId="59" applyNumberFormat="1" applyFont="1" applyBorder="1" applyAlignment="1">
      <alignment vertical="center"/>
      <protection/>
    </xf>
    <xf numFmtId="177" fontId="58" fillId="0" borderId="27" xfId="59" applyNumberFormat="1" applyFont="1" applyBorder="1" applyAlignment="1">
      <alignment/>
      <protection/>
    </xf>
    <xf numFmtId="0" fontId="1" fillId="0" borderId="0" xfId="59" applyFont="1" applyAlignment="1">
      <alignment/>
      <protection/>
    </xf>
    <xf numFmtId="177" fontId="51" fillId="0" borderId="20" xfId="59" applyNumberFormat="1" applyFont="1" applyBorder="1" applyAlignment="1">
      <alignment/>
      <protection/>
    </xf>
    <xf numFmtId="0" fontId="1" fillId="0" borderId="27" xfId="59" applyFont="1" applyBorder="1" applyAlignment="1">
      <alignment/>
      <protection/>
    </xf>
    <xf numFmtId="177" fontId="59" fillId="0" borderId="20" xfId="59" applyNumberFormat="1" applyFont="1" applyBorder="1" applyAlignment="1">
      <alignment/>
      <protection/>
    </xf>
    <xf numFmtId="177" fontId="60" fillId="0" borderId="27" xfId="59" applyNumberFormat="1" applyFont="1" applyBorder="1">
      <alignment/>
      <protection/>
    </xf>
    <xf numFmtId="177" fontId="60" fillId="0" borderId="27" xfId="59" applyNumberFormat="1" applyFont="1" applyBorder="1">
      <alignment/>
      <protection/>
    </xf>
    <xf numFmtId="0" fontId="1" fillId="0" borderId="0" xfId="59" applyFont="1" applyAlignment="1">
      <alignment vertical="top" wrapText="1"/>
      <protection/>
    </xf>
    <xf numFmtId="177" fontId="51" fillId="0" borderId="27" xfId="59" applyNumberFormat="1" applyFont="1" applyBorder="1" quotePrefix="1">
      <alignment/>
      <protection/>
    </xf>
    <xf numFmtId="0" fontId="56" fillId="0" borderId="0" xfId="59" applyFont="1" applyAlignment="1">
      <alignment/>
      <protection/>
    </xf>
    <xf numFmtId="0" fontId="44" fillId="0" borderId="0" xfId="59" applyFont="1" applyBorder="1">
      <alignment/>
      <protection/>
    </xf>
    <xf numFmtId="177" fontId="51" fillId="0" borderId="0" xfId="59" applyNumberFormat="1" applyFont="1" applyBorder="1">
      <alignment/>
      <protection/>
    </xf>
    <xf numFmtId="0" fontId="47" fillId="0" borderId="0" xfId="59" applyFont="1" applyBorder="1">
      <alignment/>
      <protection/>
    </xf>
    <xf numFmtId="176" fontId="1" fillId="0" borderId="0" xfId="59" applyNumberFormat="1" applyFont="1" applyBorder="1">
      <alignment/>
      <protection/>
    </xf>
    <xf numFmtId="176" fontId="1" fillId="0" borderId="0" xfId="59" applyNumberFormat="1" applyFont="1">
      <alignment/>
      <protection/>
    </xf>
    <xf numFmtId="176" fontId="56" fillId="0" borderId="0" xfId="59" applyNumberFormat="1" applyFont="1">
      <alignment/>
      <protection/>
    </xf>
    <xf numFmtId="0" fontId="48" fillId="0" borderId="0" xfId="59" applyFont="1" applyAlignment="1">
      <alignment horizontal="left"/>
      <protection/>
    </xf>
    <xf numFmtId="177" fontId="58" fillId="0" borderId="20" xfId="59" applyNumberFormat="1" applyFont="1" applyBorder="1">
      <alignment/>
      <protection/>
    </xf>
    <xf numFmtId="177" fontId="58" fillId="0" borderId="27" xfId="59" applyNumberFormat="1" applyFont="1" applyBorder="1">
      <alignment/>
      <protection/>
    </xf>
    <xf numFmtId="0" fontId="1" fillId="0" borderId="20" xfId="59" applyFont="1" applyBorder="1" applyAlignment="1">
      <alignment/>
      <protection/>
    </xf>
    <xf numFmtId="177" fontId="60" fillId="0" borderId="20" xfId="59" applyNumberFormat="1" applyFont="1" applyBorder="1" applyAlignment="1">
      <alignment/>
      <protection/>
    </xf>
    <xf numFmtId="177" fontId="60" fillId="0" borderId="27" xfId="59" applyNumberFormat="1" applyFont="1" applyBorder="1" applyAlignment="1">
      <alignment/>
      <protection/>
    </xf>
    <xf numFmtId="177" fontId="60" fillId="0" borderId="27" xfId="59" applyNumberFormat="1" applyFont="1" applyBorder="1" applyAlignment="1">
      <alignment/>
      <protection/>
    </xf>
    <xf numFmtId="0" fontId="51" fillId="0" borderId="27" xfId="59" applyFont="1" applyBorder="1" applyAlignment="1">
      <alignment wrapText="1"/>
      <protection/>
    </xf>
    <xf numFmtId="177" fontId="58" fillId="0" borderId="27" xfId="59" applyNumberFormat="1" applyFont="1" applyBorder="1" quotePrefix="1">
      <alignment/>
      <protection/>
    </xf>
    <xf numFmtId="0" fontId="1" fillId="0" borderId="20" xfId="59" applyFont="1" applyBorder="1">
      <alignment/>
      <protection/>
    </xf>
    <xf numFmtId="0" fontId="1" fillId="0" borderId="27" xfId="59" applyFont="1" applyBorder="1">
      <alignment/>
      <protection/>
    </xf>
    <xf numFmtId="0" fontId="44" fillId="0" borderId="27" xfId="59" applyFont="1" applyBorder="1" applyAlignment="1">
      <alignment/>
      <protection/>
    </xf>
    <xf numFmtId="0" fontId="51" fillId="0" borderId="27" xfId="59" applyFont="1" applyBorder="1" applyAlignment="1">
      <alignment/>
      <protection/>
    </xf>
    <xf numFmtId="0" fontId="61" fillId="0" borderId="0" xfId="59" applyFont="1" applyBorder="1">
      <alignment/>
      <protection/>
    </xf>
    <xf numFmtId="0" fontId="1" fillId="0" borderId="0" xfId="59" applyFont="1" applyBorder="1">
      <alignment/>
      <protection/>
    </xf>
    <xf numFmtId="0" fontId="37" fillId="0" borderId="0" xfId="59" applyFont="1">
      <alignment/>
      <protection/>
    </xf>
    <xf numFmtId="0" fontId="58" fillId="0" borderId="0" xfId="59" applyFont="1">
      <alignment/>
      <protection/>
    </xf>
    <xf numFmtId="0" fontId="37" fillId="0" borderId="0" xfId="59" applyFont="1" applyAlignment="1" quotePrefix="1">
      <alignment horizontal="left"/>
      <protection/>
    </xf>
    <xf numFmtId="177" fontId="55" fillId="0" borderId="59" xfId="59" applyNumberFormat="1" applyFont="1" applyBorder="1">
      <alignment/>
      <protection/>
    </xf>
    <xf numFmtId="177" fontId="58" fillId="0" borderId="20" xfId="59" applyNumberFormat="1" applyFont="1" applyBorder="1" applyAlignment="1">
      <alignment/>
      <protection/>
    </xf>
    <xf numFmtId="177" fontId="58" fillId="0" borderId="20" xfId="59" applyNumberFormat="1" applyFont="1" applyBorder="1">
      <alignment/>
      <protection/>
    </xf>
    <xf numFmtId="177" fontId="23" fillId="0" borderId="0" xfId="59" applyNumberFormat="1" applyFont="1">
      <alignment/>
      <protection/>
    </xf>
    <xf numFmtId="177" fontId="60" fillId="0" borderId="20" xfId="59" applyNumberFormat="1" applyFont="1" applyBorder="1">
      <alignment/>
      <protection/>
    </xf>
    <xf numFmtId="177" fontId="60" fillId="0" borderId="20" xfId="59" applyNumberFormat="1" applyFont="1" applyBorder="1">
      <alignment/>
      <protection/>
    </xf>
    <xf numFmtId="0" fontId="60" fillId="0" borderId="0" xfId="59" applyFont="1">
      <alignment/>
      <protection/>
    </xf>
    <xf numFmtId="200" fontId="63" fillId="0" borderId="27" xfId="59" applyNumberFormat="1" applyFont="1" applyBorder="1" applyAlignment="1">
      <alignment/>
      <protection/>
    </xf>
    <xf numFmtId="177" fontId="60" fillId="0" borderId="20" xfId="59" applyNumberFormat="1" applyFont="1" applyFill="1" applyBorder="1">
      <alignment/>
      <protection/>
    </xf>
    <xf numFmtId="177" fontId="58" fillId="0" borderId="20" xfId="59" applyNumberFormat="1" applyFont="1" applyFill="1" applyBorder="1">
      <alignment/>
      <protection/>
    </xf>
    <xf numFmtId="177" fontId="60" fillId="0" borderId="56" xfId="59" applyNumberFormat="1" applyFont="1" applyBorder="1" applyAlignment="1">
      <alignment/>
      <protection/>
    </xf>
    <xf numFmtId="0" fontId="47" fillId="0" borderId="0" xfId="59" applyFont="1" applyAlignment="1">
      <alignment/>
      <protection/>
    </xf>
    <xf numFmtId="0" fontId="23" fillId="0" borderId="0" xfId="59" applyFont="1" applyAlignment="1">
      <alignment/>
      <protection/>
    </xf>
    <xf numFmtId="0" fontId="48" fillId="0" borderId="0" xfId="59" applyFont="1">
      <alignment/>
      <protection/>
    </xf>
    <xf numFmtId="0" fontId="58" fillId="0" borderId="0" xfId="59" applyFont="1">
      <alignment/>
      <protection/>
    </xf>
    <xf numFmtId="0" fontId="51" fillId="0" borderId="27" xfId="59" applyFont="1" applyBorder="1" applyAlignment="1">
      <alignment horizontal="centerContinuous" wrapText="1"/>
      <protection/>
    </xf>
    <xf numFmtId="0" fontId="51" fillId="0" borderId="27" xfId="59" applyFont="1" applyBorder="1" applyAlignment="1">
      <alignment horizontal="left"/>
      <protection/>
    </xf>
    <xf numFmtId="176" fontId="51" fillId="0" borderId="20" xfId="59" applyNumberFormat="1" applyFont="1" applyBorder="1" applyAlignment="1">
      <alignment/>
      <protection/>
    </xf>
    <xf numFmtId="194" fontId="44" fillId="0" borderId="27" xfId="59" applyNumberFormat="1" applyFont="1" applyBorder="1" applyAlignment="1">
      <alignment/>
      <protection/>
    </xf>
    <xf numFmtId="176" fontId="59" fillId="0" borderId="20" xfId="59" applyNumberFormat="1" applyFont="1" applyBorder="1" applyAlignment="1">
      <alignment/>
      <protection/>
    </xf>
    <xf numFmtId="202" fontId="60" fillId="0" borderId="20" xfId="59" applyNumberFormat="1" applyFont="1" applyBorder="1">
      <alignment/>
      <protection/>
    </xf>
    <xf numFmtId="177" fontId="59" fillId="0" borderId="27" xfId="59" applyNumberFormat="1" applyFont="1" applyBorder="1" applyAlignment="1">
      <alignment/>
      <protection/>
    </xf>
    <xf numFmtId="177" fontId="59" fillId="0" borderId="27" xfId="59" applyNumberFormat="1" applyFont="1" applyBorder="1" applyAlignment="1">
      <alignment/>
      <protection/>
    </xf>
    <xf numFmtId="0" fontId="64" fillId="0" borderId="0" xfId="59" applyFont="1">
      <alignment/>
      <protection/>
    </xf>
    <xf numFmtId="176" fontId="59" fillId="0" borderId="27" xfId="59" applyNumberFormat="1" applyFont="1" applyBorder="1" applyAlignment="1">
      <alignment/>
      <protection/>
    </xf>
    <xf numFmtId="0" fontId="23" fillId="0" borderId="27" xfId="59" applyBorder="1">
      <alignment/>
      <protection/>
    </xf>
    <xf numFmtId="198" fontId="60" fillId="0" borderId="20" xfId="59" applyNumberFormat="1" applyFont="1" applyBorder="1">
      <alignment/>
      <protection/>
    </xf>
    <xf numFmtId="0" fontId="60" fillId="0" borderId="0" xfId="59" applyFont="1">
      <alignment/>
      <protection/>
    </xf>
    <xf numFmtId="0" fontId="44" fillId="0" borderId="56" xfId="59" applyFont="1" applyBorder="1" applyAlignment="1">
      <alignment/>
      <protection/>
    </xf>
    <xf numFmtId="177" fontId="60" fillId="0" borderId="56" xfId="59" applyNumberFormat="1" applyFont="1" applyBorder="1">
      <alignment/>
      <protection/>
    </xf>
    <xf numFmtId="176" fontId="60" fillId="0" borderId="56" xfId="59" applyNumberFormat="1" applyFont="1" applyBorder="1" applyAlignment="1">
      <alignment/>
      <protection/>
    </xf>
    <xf numFmtId="177" fontId="60" fillId="0" borderId="60" xfId="59" applyNumberFormat="1" applyFont="1" applyBorder="1">
      <alignment/>
      <protection/>
    </xf>
    <xf numFmtId="176" fontId="23" fillId="0" borderId="0" xfId="59" applyNumberFormat="1">
      <alignment/>
      <protection/>
    </xf>
    <xf numFmtId="0" fontId="1" fillId="0" borderId="0" xfId="59" applyFont="1" applyAlignment="1">
      <alignment horizontal="center"/>
      <protection/>
    </xf>
    <xf numFmtId="17" fontId="6" fillId="0" borderId="61" xfId="0" applyNumberFormat="1" applyFont="1" applyBorder="1" applyAlignment="1">
      <alignment horizontal="center" vertical="center"/>
    </xf>
    <xf numFmtId="3" fontId="6" fillId="0" borderId="22" xfId="61" applyNumberFormat="1" applyFont="1" applyBorder="1" applyAlignment="1">
      <alignment horizontal="right"/>
      <protection/>
    </xf>
    <xf numFmtId="198" fontId="15" fillId="0" borderId="34" xfId="0" applyNumberFormat="1" applyFont="1" applyBorder="1" applyAlignment="1">
      <alignment/>
    </xf>
    <xf numFmtId="181" fontId="15" fillId="0" borderId="34" xfId="0" applyNumberFormat="1" applyFont="1" applyBorder="1" applyAlignment="1">
      <alignment/>
    </xf>
    <xf numFmtId="198" fontId="2" fillId="0" borderId="17" xfId="0" applyNumberFormat="1" applyFont="1" applyBorder="1" applyAlignment="1">
      <alignment horizontal="right" vertical="center"/>
    </xf>
    <xf numFmtId="3" fontId="6" fillId="0" borderId="13" xfId="61" applyNumberFormat="1" applyFont="1" applyBorder="1" applyAlignment="1">
      <alignment horizontal="right"/>
      <protection/>
    </xf>
    <xf numFmtId="3" fontId="6" fillId="0" borderId="34" xfId="61" applyNumberFormat="1" applyFont="1" applyBorder="1" applyAlignment="1">
      <alignment horizontal="right"/>
      <protection/>
    </xf>
    <xf numFmtId="174" fontId="6" fillId="0" borderId="34" xfId="61" applyNumberFormat="1" applyFont="1" applyBorder="1" applyAlignment="1">
      <alignment horizontal="right"/>
      <protection/>
    </xf>
    <xf numFmtId="3" fontId="6" fillId="0" borderId="34" xfId="61" applyNumberFormat="1" applyFont="1" applyBorder="1" applyAlignment="1">
      <alignment horizontal="right" vertical="center"/>
      <protection/>
    </xf>
    <xf numFmtId="3" fontId="2" fillId="0" borderId="17" xfId="61" applyNumberFormat="1" applyFont="1" applyBorder="1" applyAlignment="1">
      <alignment horizontal="right" vertical="center"/>
      <protection/>
    </xf>
    <xf numFmtId="3" fontId="6" fillId="0" borderId="35" xfId="61" applyNumberFormat="1" applyFont="1" applyBorder="1" applyAlignment="1">
      <alignment horizontal="right" vertical="center"/>
      <protection/>
    </xf>
    <xf numFmtId="172" fontId="6" fillId="0" borderId="44" xfId="0" applyNumberFormat="1" applyFont="1" applyBorder="1" applyAlignment="1">
      <alignment/>
    </xf>
    <xf numFmtId="172" fontId="6" fillId="0" borderId="34" xfId="0" applyNumberFormat="1" applyFont="1" applyBorder="1" applyAlignment="1">
      <alignment/>
    </xf>
    <xf numFmtId="173" fontId="6" fillId="0" borderId="34" xfId="0" applyNumberFormat="1" applyFont="1" applyBorder="1" applyAlignment="1">
      <alignment/>
    </xf>
    <xf numFmtId="172" fontId="2" fillId="0" borderId="17" xfId="0" applyNumberFormat="1" applyFont="1" applyBorder="1" applyAlignment="1">
      <alignment vertical="center"/>
    </xf>
    <xf numFmtId="17" fontId="2" fillId="0" borderId="50" xfId="65" applyNumberFormat="1" applyFont="1" applyBorder="1" applyAlignment="1">
      <alignment horizontal="centerContinuous" vertical="center"/>
      <protection/>
    </xf>
    <xf numFmtId="17" fontId="2" fillId="0" borderId="34" xfId="65" applyNumberFormat="1" applyFont="1" applyBorder="1" applyAlignment="1">
      <alignment horizontal="centerContinuous" vertical="center"/>
      <protection/>
    </xf>
    <xf numFmtId="17" fontId="6" fillId="0" borderId="17" xfId="65" applyNumberFormat="1" applyFont="1" applyBorder="1" applyAlignment="1">
      <alignment horizontal="centerContinuous" vertical="center"/>
      <protection/>
    </xf>
    <xf numFmtId="3" fontId="6" fillId="0" borderId="34" xfId="65" applyNumberFormat="1" applyFont="1" applyBorder="1" applyAlignment="1">
      <alignment/>
      <protection/>
    </xf>
    <xf numFmtId="174" fontId="6" fillId="0" borderId="34" xfId="65" applyNumberFormat="1" applyFont="1" applyBorder="1" applyAlignment="1">
      <alignment/>
      <protection/>
    </xf>
    <xf numFmtId="0" fontId="43" fillId="0" borderId="13" xfId="59" applyFont="1" applyBorder="1">
      <alignment/>
      <protection/>
    </xf>
    <xf numFmtId="0" fontId="43" fillId="0" borderId="10" xfId="59" applyFont="1" applyBorder="1">
      <alignment/>
      <protection/>
    </xf>
    <xf numFmtId="0" fontId="43" fillId="0" borderId="34" xfId="59" applyFont="1" applyBorder="1" applyAlignment="1">
      <alignment horizontal="centerContinuous" vertical="top"/>
      <protection/>
    </xf>
    <xf numFmtId="0" fontId="41" fillId="0" borderId="34" xfId="59" applyFont="1" applyBorder="1" applyAlignment="1" quotePrefix="1">
      <alignment horizontal="right" vertical="center"/>
      <protection/>
    </xf>
    <xf numFmtId="0" fontId="43" fillId="0" borderId="34" xfId="59" applyFont="1" applyBorder="1" applyAlignment="1">
      <alignment vertical="center"/>
      <protection/>
    </xf>
    <xf numFmtId="0" fontId="41" fillId="0" borderId="51" xfId="59" applyFont="1" applyBorder="1" applyAlignment="1">
      <alignment horizontal="left" vertical="center"/>
      <protection/>
    </xf>
    <xf numFmtId="198" fontId="41" fillId="0" borderId="62" xfId="59" applyNumberFormat="1" applyFont="1" applyBorder="1" applyAlignment="1">
      <alignment vertical="center"/>
      <protection/>
    </xf>
    <xf numFmtId="198" fontId="41" fillId="0" borderId="63" xfId="59" applyNumberFormat="1" applyFont="1" applyBorder="1" applyAlignment="1">
      <alignment vertical="center"/>
      <protection/>
    </xf>
    <xf numFmtId="0" fontId="41" fillId="0" borderId="0" xfId="59" applyFont="1" applyBorder="1" applyAlignment="1">
      <alignment horizontal="centerContinuous"/>
      <protection/>
    </xf>
    <xf numFmtId="0" fontId="43" fillId="0" borderId="37" xfId="59" applyFont="1" applyBorder="1" applyAlignment="1">
      <alignment horizontal="left" vertical="center"/>
      <protection/>
    </xf>
    <xf numFmtId="0" fontId="43" fillId="0" borderId="20" xfId="59" applyFont="1" applyBorder="1" applyAlignment="1">
      <alignment vertical="center"/>
      <protection/>
    </xf>
    <xf numFmtId="198" fontId="41" fillId="0" borderId="41" xfId="59" applyNumberFormat="1" applyFont="1" applyBorder="1" applyAlignment="1">
      <alignment vertical="center"/>
      <protection/>
    </xf>
    <xf numFmtId="177" fontId="41" fillId="0" borderId="47" xfId="59" applyNumberFormat="1" applyFont="1" applyBorder="1" applyAlignment="1">
      <alignment vertical="center"/>
      <protection/>
    </xf>
    <xf numFmtId="177" fontId="41" fillId="0" borderId="18" xfId="59" applyNumberFormat="1" applyFont="1" applyBorder="1" applyAlignment="1">
      <alignment vertical="center"/>
      <protection/>
    </xf>
    <xf numFmtId="184" fontId="46" fillId="0" borderId="47" xfId="59" applyNumberFormat="1" applyFont="1" applyBorder="1" applyAlignment="1" quotePrefix="1">
      <alignment horizontal="right" vertical="center"/>
      <protection/>
    </xf>
    <xf numFmtId="184" fontId="46" fillId="0" borderId="18" xfId="59" applyNumberFormat="1" applyFont="1" applyBorder="1" applyAlignment="1" quotePrefix="1">
      <alignment horizontal="right" vertical="center"/>
      <protection/>
    </xf>
    <xf numFmtId="177" fontId="43" fillId="0" borderId="18" xfId="59" applyNumberFormat="1" applyFont="1" applyBorder="1" applyAlignment="1">
      <alignment vertical="center"/>
      <protection/>
    </xf>
    <xf numFmtId="198" fontId="41" fillId="0" borderId="51" xfId="59" applyNumberFormat="1" applyFont="1" applyBorder="1" applyAlignment="1">
      <alignment vertical="center"/>
      <protection/>
    </xf>
    <xf numFmtId="177" fontId="41" fillId="0" borderId="19" xfId="59" applyNumberFormat="1" applyFont="1" applyBorder="1" applyAlignment="1">
      <alignment vertical="center"/>
      <protection/>
    </xf>
    <xf numFmtId="184" fontId="46" fillId="0" borderId="19" xfId="59" applyNumberFormat="1" applyFont="1" applyBorder="1" applyAlignment="1" quotePrefix="1">
      <alignment horizontal="right" vertical="center"/>
      <protection/>
    </xf>
    <xf numFmtId="198" fontId="41" fillId="0" borderId="43" xfId="59" applyNumberFormat="1" applyFont="1" applyBorder="1" applyAlignment="1">
      <alignment vertical="center"/>
      <protection/>
    </xf>
    <xf numFmtId="0" fontId="43" fillId="0" borderId="64" xfId="59" applyFont="1" applyBorder="1" applyAlignment="1">
      <alignment horizontal="center"/>
      <protection/>
    </xf>
    <xf numFmtId="177" fontId="41" fillId="0" borderId="65" xfId="59" applyNumberFormat="1" applyFont="1" applyBorder="1" applyAlignment="1">
      <alignment vertical="center"/>
      <protection/>
    </xf>
    <xf numFmtId="0" fontId="43" fillId="0" borderId="65" xfId="59" applyFont="1" applyBorder="1">
      <alignment/>
      <protection/>
    </xf>
    <xf numFmtId="184" fontId="46" fillId="0" borderId="65" xfId="59" applyNumberFormat="1" applyFont="1" applyBorder="1" applyAlignment="1" quotePrefix="1">
      <alignment horizontal="right" vertical="center"/>
      <protection/>
    </xf>
    <xf numFmtId="184" fontId="46" fillId="0" borderId="65" xfId="59" applyNumberFormat="1" applyFont="1" applyBorder="1" applyAlignment="1">
      <alignment horizontal="right" vertical="center"/>
      <protection/>
    </xf>
    <xf numFmtId="198" fontId="41" fillId="0" borderId="66" xfId="59" applyNumberFormat="1" applyFont="1" applyBorder="1" applyAlignment="1">
      <alignment vertical="center"/>
      <protection/>
    </xf>
    <xf numFmtId="177" fontId="43" fillId="0" borderId="47" xfId="59" applyNumberFormat="1" applyFont="1" applyBorder="1" applyAlignment="1">
      <alignment vertical="center"/>
      <protection/>
    </xf>
    <xf numFmtId="0" fontId="41" fillId="0" borderId="53" xfId="59" applyFont="1" applyBorder="1" applyAlignment="1">
      <alignment horizontal="left" vertical="center"/>
      <protection/>
    </xf>
    <xf numFmtId="0" fontId="43" fillId="0" borderId="31" xfId="59" applyFont="1" applyBorder="1" applyAlignment="1">
      <alignment horizontal="left" vertical="center"/>
      <protection/>
    </xf>
    <xf numFmtId="177" fontId="41" fillId="0" borderId="53" xfId="59" applyNumberFormat="1" applyFont="1" applyBorder="1" applyAlignment="1">
      <alignment vertical="center"/>
      <protection/>
    </xf>
    <xf numFmtId="177" fontId="41" fillId="0" borderId="54" xfId="59" applyNumberFormat="1" applyFont="1" applyBorder="1" applyAlignment="1">
      <alignment vertical="center"/>
      <protection/>
    </xf>
    <xf numFmtId="177" fontId="41" fillId="0" borderId="67" xfId="59" applyNumberFormat="1" applyFont="1" applyBorder="1" applyAlignment="1">
      <alignment vertical="center"/>
      <protection/>
    </xf>
    <xf numFmtId="177" fontId="41" fillId="0" borderId="68" xfId="59" applyNumberFormat="1" applyFont="1" applyBorder="1" applyAlignment="1">
      <alignment vertical="center"/>
      <protection/>
    </xf>
    <xf numFmtId="177" fontId="41" fillId="0" borderId="69" xfId="59" applyNumberFormat="1" applyFont="1" applyBorder="1" applyAlignment="1">
      <alignment vertical="center"/>
      <protection/>
    </xf>
    <xf numFmtId="177" fontId="41" fillId="0" borderId="64" xfId="59" applyNumberFormat="1" applyFont="1" applyBorder="1" applyAlignment="1">
      <alignment vertical="center"/>
      <protection/>
    </xf>
    <xf numFmtId="0" fontId="51" fillId="0" borderId="0" xfId="59" applyFont="1" applyAlignment="1">
      <alignment horizontal="right"/>
      <protection/>
    </xf>
    <xf numFmtId="0" fontId="51" fillId="0" borderId="34" xfId="59" applyFont="1" applyBorder="1" applyAlignment="1">
      <alignment horizontal="centerContinuous" vertical="center"/>
      <protection/>
    </xf>
    <xf numFmtId="0" fontId="51" fillId="0" borderId="34" xfId="59" applyFont="1" applyBorder="1" applyAlignment="1">
      <alignment/>
      <protection/>
    </xf>
    <xf numFmtId="0" fontId="44" fillId="0" borderId="34" xfId="59" applyFont="1" applyBorder="1" applyAlignment="1">
      <alignment/>
      <protection/>
    </xf>
    <xf numFmtId="0" fontId="44" fillId="0" borderId="34" xfId="59" applyFont="1" applyBorder="1">
      <alignment/>
      <protection/>
    </xf>
    <xf numFmtId="0" fontId="51" fillId="0" borderId="34" xfId="59" applyFont="1" applyBorder="1" applyAlignment="1">
      <alignment horizontal="left"/>
      <protection/>
    </xf>
    <xf numFmtId="0" fontId="44" fillId="0" borderId="34" xfId="59" applyFont="1" applyBorder="1" applyAlignment="1">
      <alignment vertical="top" wrapText="1"/>
      <protection/>
    </xf>
    <xf numFmtId="0" fontId="51" fillId="0" borderId="34" xfId="59" applyFont="1" applyBorder="1">
      <alignment/>
      <protection/>
    </xf>
    <xf numFmtId="177" fontId="51" fillId="0" borderId="28" xfId="59" applyNumberFormat="1" applyFont="1" applyBorder="1" quotePrefix="1">
      <alignment/>
      <protection/>
    </xf>
    <xf numFmtId="0" fontId="44" fillId="0" borderId="35" xfId="59" applyFont="1" applyBorder="1">
      <alignment/>
      <protection/>
    </xf>
    <xf numFmtId="0" fontId="1" fillId="0" borderId="62" xfId="59" applyFont="1" applyBorder="1">
      <alignment/>
      <protection/>
    </xf>
    <xf numFmtId="177" fontId="55" fillId="0" borderId="20" xfId="59" applyNumberFormat="1" applyFont="1" applyBorder="1" applyAlignment="1">
      <alignment vertical="center"/>
      <protection/>
    </xf>
    <xf numFmtId="177" fontId="55" fillId="0" borderId="27" xfId="59" applyNumberFormat="1" applyFont="1" applyBorder="1" applyAlignment="1">
      <alignment vertical="center"/>
      <protection/>
    </xf>
    <xf numFmtId="0" fontId="51" fillId="0" borderId="0" xfId="59" applyFont="1" applyBorder="1" applyAlignment="1">
      <alignment horizontal="centerContinuous" vertical="center"/>
      <protection/>
    </xf>
    <xf numFmtId="0" fontId="44" fillId="0" borderId="0" xfId="59" applyFont="1" applyBorder="1" applyAlignment="1">
      <alignment/>
      <protection/>
    </xf>
    <xf numFmtId="0" fontId="44" fillId="0" borderId="0" xfId="59" applyFont="1" applyBorder="1" applyAlignment="1">
      <alignment horizontal="left"/>
      <protection/>
    </xf>
    <xf numFmtId="0" fontId="51" fillId="0" borderId="0" xfId="59" applyFont="1" applyBorder="1" applyAlignment="1">
      <alignment/>
      <protection/>
    </xf>
    <xf numFmtId="0" fontId="56" fillId="0" borderId="0" xfId="59" applyFont="1" applyBorder="1" applyAlignment="1">
      <alignment/>
      <protection/>
    </xf>
    <xf numFmtId="0" fontId="44" fillId="0" borderId="39" xfId="59" applyFont="1" applyBorder="1">
      <alignment/>
      <protection/>
    </xf>
    <xf numFmtId="177" fontId="51" fillId="0" borderId="20" xfId="59" applyNumberFormat="1" applyFont="1" applyBorder="1" quotePrefix="1">
      <alignment/>
      <protection/>
    </xf>
    <xf numFmtId="0" fontId="1" fillId="0" borderId="41" xfId="59" applyFont="1" applyBorder="1">
      <alignment/>
      <protection/>
    </xf>
    <xf numFmtId="177" fontId="54" fillId="0" borderId="47" xfId="59" applyNumberFormat="1" applyFont="1" applyBorder="1" applyAlignment="1">
      <alignment vertical="center"/>
      <protection/>
    </xf>
    <xf numFmtId="177" fontId="54" fillId="0" borderId="18" xfId="59" applyNumberFormat="1" applyFont="1" applyBorder="1" applyAlignment="1">
      <alignment vertical="center"/>
      <protection/>
    </xf>
    <xf numFmtId="177" fontId="57" fillId="0" borderId="47" xfId="54" applyNumberFormat="1" applyFont="1" applyBorder="1" applyAlignment="1" applyProtection="1">
      <alignment/>
      <protection/>
    </xf>
    <xf numFmtId="177" fontId="57" fillId="0" borderId="18" xfId="54" applyNumberFormat="1" applyFont="1" applyBorder="1" applyAlignment="1" applyProtection="1">
      <alignment/>
      <protection/>
    </xf>
    <xf numFmtId="177" fontId="51" fillId="0" borderId="47" xfId="59" applyNumberFormat="1" applyFont="1" applyBorder="1" applyAlignment="1">
      <alignment/>
      <protection/>
    </xf>
    <xf numFmtId="177" fontId="51" fillId="0" borderId="18" xfId="59" applyNumberFormat="1" applyFont="1" applyBorder="1" applyAlignment="1">
      <alignment/>
      <protection/>
    </xf>
    <xf numFmtId="177" fontId="59" fillId="0" borderId="47" xfId="59" applyNumberFormat="1" applyFont="1" applyBorder="1" applyAlignment="1">
      <alignment/>
      <protection/>
    </xf>
    <xf numFmtId="177" fontId="59" fillId="0" borderId="18" xfId="59" applyNumberFormat="1" applyFont="1" applyBorder="1" applyAlignment="1">
      <alignment/>
      <protection/>
    </xf>
    <xf numFmtId="177" fontId="51" fillId="0" borderId="47" xfId="59" applyNumberFormat="1" applyFont="1" applyBorder="1" quotePrefix="1">
      <alignment/>
      <protection/>
    </xf>
    <xf numFmtId="177" fontId="51" fillId="0" borderId="46" xfId="59" applyNumberFormat="1" applyFont="1" applyBorder="1">
      <alignment/>
      <protection/>
    </xf>
    <xf numFmtId="177" fontId="51" fillId="0" borderId="42" xfId="59" applyNumberFormat="1" applyFont="1" applyBorder="1">
      <alignment/>
      <protection/>
    </xf>
    <xf numFmtId="177" fontId="55" fillId="0" borderId="19" xfId="59" applyNumberFormat="1" applyFont="1" applyBorder="1" applyAlignment="1">
      <alignment vertical="center"/>
      <protection/>
    </xf>
    <xf numFmtId="177" fontId="58" fillId="0" borderId="19" xfId="59" applyNumberFormat="1" applyFont="1" applyBorder="1" applyAlignment="1">
      <alignment/>
      <protection/>
    </xf>
    <xf numFmtId="0" fontId="1" fillId="0" borderId="19" xfId="59" applyFont="1" applyBorder="1" applyAlignment="1">
      <alignment/>
      <protection/>
    </xf>
    <xf numFmtId="177" fontId="60" fillId="0" borderId="19" xfId="59" applyNumberFormat="1" applyFont="1" applyBorder="1">
      <alignment/>
      <protection/>
    </xf>
    <xf numFmtId="177" fontId="60" fillId="0" borderId="19" xfId="59" applyNumberFormat="1" applyFont="1" applyBorder="1">
      <alignment/>
      <protection/>
    </xf>
    <xf numFmtId="177" fontId="51" fillId="0" borderId="19" xfId="59" applyNumberFormat="1" applyFont="1" applyBorder="1" quotePrefix="1">
      <alignment/>
      <protection/>
    </xf>
    <xf numFmtId="0" fontId="23" fillId="0" borderId="64" xfId="59" applyFont="1" applyBorder="1" applyAlignment="1">
      <alignment horizontal="center"/>
      <protection/>
    </xf>
    <xf numFmtId="177" fontId="55" fillId="0" borderId="65" xfId="59" applyNumberFormat="1" applyFont="1" applyBorder="1" applyAlignment="1">
      <alignment vertical="center"/>
      <protection/>
    </xf>
    <xf numFmtId="177" fontId="58" fillId="0" borderId="65" xfId="59" applyNumberFormat="1" applyFont="1" applyBorder="1" applyAlignment="1">
      <alignment/>
      <protection/>
    </xf>
    <xf numFmtId="0" fontId="1" fillId="0" borderId="65" xfId="59" applyFont="1" applyBorder="1" applyAlignment="1">
      <alignment/>
      <protection/>
    </xf>
    <xf numFmtId="177" fontId="60" fillId="0" borderId="65" xfId="59" applyNumberFormat="1" applyFont="1" applyBorder="1">
      <alignment/>
      <protection/>
    </xf>
    <xf numFmtId="177" fontId="60" fillId="0" borderId="65" xfId="59" applyNumberFormat="1" applyFont="1" applyBorder="1">
      <alignment/>
      <protection/>
    </xf>
    <xf numFmtId="177" fontId="51" fillId="0" borderId="65" xfId="59" applyNumberFormat="1" applyFont="1" applyBorder="1" quotePrefix="1">
      <alignment/>
      <protection/>
    </xf>
    <xf numFmtId="0" fontId="56" fillId="0" borderId="43" xfId="59" applyFont="1" applyBorder="1">
      <alignment/>
      <protection/>
    </xf>
    <xf numFmtId="0" fontId="1" fillId="0" borderId="66" xfId="59" applyFont="1" applyBorder="1">
      <alignment/>
      <protection/>
    </xf>
    <xf numFmtId="0" fontId="58" fillId="0" borderId="0" xfId="59" applyFont="1" applyAlignment="1">
      <alignment horizontal="right"/>
      <protection/>
    </xf>
    <xf numFmtId="177" fontId="60" fillId="0" borderId="28" xfId="59" applyNumberFormat="1" applyFont="1" applyBorder="1" applyAlignment="1">
      <alignment/>
      <protection/>
    </xf>
    <xf numFmtId="177" fontId="51" fillId="0" borderId="41" xfId="59" applyNumberFormat="1" applyFont="1" applyBorder="1" applyAlignment="1">
      <alignment horizontal="right" vertical="center"/>
      <protection/>
    </xf>
    <xf numFmtId="177" fontId="51" fillId="0" borderId="42" xfId="59" applyNumberFormat="1" applyFont="1" applyBorder="1" applyAlignment="1">
      <alignment horizontal="right" vertical="center"/>
      <protection/>
    </xf>
    <xf numFmtId="0" fontId="51" fillId="0" borderId="34" xfId="59" applyFont="1" applyBorder="1" applyAlignment="1">
      <alignment wrapText="1"/>
      <protection/>
    </xf>
    <xf numFmtId="0" fontId="51" fillId="0" borderId="35" xfId="59" applyFont="1" applyBorder="1" applyAlignment="1">
      <alignment vertical="center"/>
      <protection/>
    </xf>
    <xf numFmtId="177" fontId="58" fillId="0" borderId="20" xfId="59" applyNumberFormat="1" applyFont="1" applyBorder="1" quotePrefix="1">
      <alignment/>
      <protection/>
    </xf>
    <xf numFmtId="177" fontId="54" fillId="0" borderId="47" xfId="59" applyNumberFormat="1" applyFont="1" applyBorder="1" applyAlignment="1">
      <alignment horizontal="right" vertical="center"/>
      <protection/>
    </xf>
    <xf numFmtId="177" fontId="54" fillId="0" borderId="18" xfId="59" applyNumberFormat="1" applyFont="1" applyBorder="1" applyAlignment="1">
      <alignment horizontal="right" vertical="center"/>
      <protection/>
    </xf>
    <xf numFmtId="177" fontId="51" fillId="0" borderId="47" xfId="59" applyNumberFormat="1" applyFont="1" applyBorder="1" applyAlignment="1">
      <alignment horizontal="right"/>
      <protection/>
    </xf>
    <xf numFmtId="177" fontId="51" fillId="0" borderId="18" xfId="59" applyNumberFormat="1" applyFont="1" applyBorder="1" applyAlignment="1">
      <alignment horizontal="right"/>
      <protection/>
    </xf>
    <xf numFmtId="177" fontId="59" fillId="0" borderId="47" xfId="59" applyNumberFormat="1" applyFont="1" applyBorder="1" applyAlignment="1">
      <alignment horizontal="right"/>
      <protection/>
    </xf>
    <xf numFmtId="177" fontId="59" fillId="0" borderId="18" xfId="59" applyNumberFormat="1" applyFont="1" applyBorder="1" applyAlignment="1">
      <alignment horizontal="right"/>
      <protection/>
    </xf>
    <xf numFmtId="177" fontId="58" fillId="0" borderId="47" xfId="59" applyNumberFormat="1" applyFont="1" applyBorder="1">
      <alignment/>
      <protection/>
    </xf>
    <xf numFmtId="177" fontId="58" fillId="0" borderId="18" xfId="59" applyNumberFormat="1" applyFont="1" applyBorder="1">
      <alignment/>
      <protection/>
    </xf>
    <xf numFmtId="177" fontId="51" fillId="0" borderId="46" xfId="59" applyNumberFormat="1" applyFont="1" applyBorder="1" applyAlignment="1">
      <alignment horizontal="right" vertical="center"/>
      <protection/>
    </xf>
    <xf numFmtId="177" fontId="55" fillId="0" borderId="40" xfId="59" applyNumberFormat="1" applyFont="1" applyBorder="1" applyAlignment="1">
      <alignment vertical="center"/>
      <protection/>
    </xf>
    <xf numFmtId="177" fontId="58" fillId="0" borderId="19" xfId="59" applyNumberFormat="1" applyFont="1" applyBorder="1">
      <alignment/>
      <protection/>
    </xf>
    <xf numFmtId="0" fontId="56" fillId="0" borderId="19" xfId="59" applyFont="1" applyBorder="1" applyAlignment="1">
      <alignment/>
      <protection/>
    </xf>
    <xf numFmtId="177" fontId="60" fillId="0" borderId="19" xfId="59" applyNumberFormat="1" applyFont="1" applyBorder="1" applyAlignment="1">
      <alignment/>
      <protection/>
    </xf>
    <xf numFmtId="177" fontId="58" fillId="0" borderId="19" xfId="59" applyNumberFormat="1" applyFont="1" applyBorder="1" quotePrefix="1">
      <alignment/>
      <protection/>
    </xf>
    <xf numFmtId="0" fontId="56" fillId="0" borderId="19" xfId="59" applyFont="1" applyBorder="1">
      <alignment/>
      <protection/>
    </xf>
    <xf numFmtId="177" fontId="51" fillId="0" borderId="39" xfId="59" applyNumberFormat="1" applyFont="1" applyBorder="1" applyAlignment="1">
      <alignment horizontal="right" vertical="center"/>
      <protection/>
    </xf>
    <xf numFmtId="177" fontId="55" fillId="0" borderId="70" xfId="59" applyNumberFormat="1" applyFont="1" applyBorder="1" applyAlignment="1">
      <alignment vertical="center"/>
      <protection/>
    </xf>
    <xf numFmtId="177" fontId="58" fillId="0" borderId="65" xfId="59" applyNumberFormat="1" applyFont="1" applyBorder="1">
      <alignment/>
      <protection/>
    </xf>
    <xf numFmtId="0" fontId="56" fillId="0" borderId="65" xfId="59" applyFont="1" applyBorder="1" applyAlignment="1">
      <alignment/>
      <protection/>
    </xf>
    <xf numFmtId="177" fontId="60" fillId="0" borderId="65" xfId="59" applyNumberFormat="1" applyFont="1" applyBorder="1" applyAlignment="1">
      <alignment/>
      <protection/>
    </xf>
    <xf numFmtId="177" fontId="58" fillId="0" borderId="65" xfId="59" applyNumberFormat="1" applyFont="1" applyBorder="1" quotePrefix="1">
      <alignment/>
      <protection/>
    </xf>
    <xf numFmtId="0" fontId="56" fillId="0" borderId="65" xfId="59" applyFont="1" applyBorder="1">
      <alignment/>
      <protection/>
    </xf>
    <xf numFmtId="177" fontId="51" fillId="0" borderId="66" xfId="59" applyNumberFormat="1" applyFont="1" applyBorder="1" applyAlignment="1">
      <alignment horizontal="right" vertical="center"/>
      <protection/>
    </xf>
    <xf numFmtId="0" fontId="51" fillId="0" borderId="0" xfId="59" applyFont="1" applyAlignment="1">
      <alignment horizontal="left"/>
      <protection/>
    </xf>
    <xf numFmtId="0" fontId="51" fillId="0" borderId="56" xfId="59" applyFont="1" applyBorder="1" applyAlignment="1">
      <alignment horizontal="center" vertical="center"/>
      <protection/>
    </xf>
    <xf numFmtId="0" fontId="51" fillId="0" borderId="71" xfId="59" applyFont="1" applyBorder="1" applyAlignment="1">
      <alignment horizontal="center" vertical="center"/>
      <protection/>
    </xf>
    <xf numFmtId="0" fontId="51" fillId="0" borderId="62" xfId="59" applyFont="1" applyBorder="1" applyAlignment="1">
      <alignment horizontal="center" vertical="center"/>
      <protection/>
    </xf>
    <xf numFmtId="0" fontId="51" fillId="0" borderId="43" xfId="59" applyFont="1" applyBorder="1" applyAlignment="1">
      <alignment horizontal="center" vertical="center"/>
      <protection/>
    </xf>
    <xf numFmtId="0" fontId="41" fillId="0" borderId="41" xfId="59" applyFont="1" applyBorder="1" applyAlignment="1">
      <alignment horizontal="center" vertical="center"/>
      <protection/>
    </xf>
    <xf numFmtId="0" fontId="41" fillId="0" borderId="43" xfId="59" applyFont="1" applyBorder="1" applyAlignment="1">
      <alignment horizontal="center" vertical="center"/>
      <protection/>
    </xf>
    <xf numFmtId="0" fontId="41" fillId="0" borderId="33" xfId="59" applyFont="1" applyBorder="1" applyAlignment="1">
      <alignment horizontal="center" vertical="center"/>
      <protection/>
    </xf>
    <xf numFmtId="0" fontId="41" fillId="0" borderId="72" xfId="59" applyFont="1" applyBorder="1" applyAlignment="1">
      <alignment horizontal="center" vertical="center"/>
      <protection/>
    </xf>
    <xf numFmtId="204" fontId="60" fillId="0" borderId="0" xfId="59" applyNumberFormat="1" applyFont="1" applyBorder="1" applyAlignment="1">
      <alignment/>
      <protection/>
    </xf>
    <xf numFmtId="0" fontId="58" fillId="0" borderId="34" xfId="59" applyFont="1" applyBorder="1" applyAlignment="1">
      <alignment horizontal="center"/>
      <protection/>
    </xf>
    <xf numFmtId="177" fontId="58" fillId="0" borderId="47" xfId="59" applyNumberFormat="1" applyFont="1" applyBorder="1" applyAlignment="1">
      <alignment/>
      <protection/>
    </xf>
    <xf numFmtId="177" fontId="60" fillId="0" borderId="18" xfId="59" applyNumberFormat="1" applyFont="1" applyBorder="1">
      <alignment/>
      <protection/>
    </xf>
    <xf numFmtId="0" fontId="58" fillId="0" borderId="34" xfId="59" applyFont="1" applyBorder="1" applyAlignment="1">
      <alignment/>
      <protection/>
    </xf>
    <xf numFmtId="200" fontId="60" fillId="0" borderId="62" xfId="59" applyNumberFormat="1" applyFont="1" applyBorder="1" applyAlignment="1">
      <alignment/>
      <protection/>
    </xf>
    <xf numFmtId="177" fontId="55" fillId="0" borderId="27" xfId="59" applyNumberFormat="1" applyFont="1" applyBorder="1">
      <alignment/>
      <protection/>
    </xf>
    <xf numFmtId="177" fontId="55" fillId="0" borderId="28" xfId="59" applyNumberFormat="1" applyFont="1" applyBorder="1">
      <alignment/>
      <protection/>
    </xf>
    <xf numFmtId="177" fontId="58" fillId="0" borderId="34" xfId="59" applyNumberFormat="1" applyFont="1" applyBorder="1" applyAlignment="1">
      <alignment/>
      <protection/>
    </xf>
    <xf numFmtId="194" fontId="23" fillId="0" borderId="34" xfId="59" applyNumberFormat="1" applyFont="1" applyBorder="1" applyAlignment="1">
      <alignment horizontal="left" wrapText="1"/>
      <protection/>
    </xf>
    <xf numFmtId="0" fontId="23" fillId="0" borderId="34" xfId="59" applyFont="1" applyBorder="1" applyAlignment="1">
      <alignment horizontal="left" wrapText="1"/>
      <protection/>
    </xf>
    <xf numFmtId="0" fontId="23" fillId="0" borderId="34" xfId="59" applyFont="1" applyBorder="1" applyAlignment="1">
      <alignment wrapText="1"/>
      <protection/>
    </xf>
    <xf numFmtId="0" fontId="23" fillId="0" borderId="34" xfId="59" applyFont="1" applyBorder="1" applyAlignment="1">
      <alignment/>
      <protection/>
    </xf>
    <xf numFmtId="0" fontId="23" fillId="0" borderId="34" xfId="59" applyFont="1" applyBorder="1">
      <alignment/>
      <protection/>
    </xf>
    <xf numFmtId="0" fontId="58" fillId="0" borderId="34" xfId="59" applyFont="1" applyBorder="1">
      <alignment/>
      <protection/>
    </xf>
    <xf numFmtId="0" fontId="58" fillId="0" borderId="34" xfId="59" applyFont="1" applyBorder="1" applyAlignment="1">
      <alignment wrapText="1"/>
      <protection/>
    </xf>
    <xf numFmtId="0" fontId="23" fillId="0" borderId="35" xfId="59" applyFont="1" applyBorder="1">
      <alignment/>
      <protection/>
    </xf>
    <xf numFmtId="177" fontId="55" fillId="0" borderId="20" xfId="59" applyNumberFormat="1" applyFont="1" applyBorder="1">
      <alignment/>
      <protection/>
    </xf>
    <xf numFmtId="200" fontId="63" fillId="0" borderId="20" xfId="59" applyNumberFormat="1" applyFont="1" applyFill="1" applyBorder="1" applyAlignment="1">
      <alignment/>
      <protection/>
    </xf>
    <xf numFmtId="200" fontId="60" fillId="0" borderId="41" xfId="59" applyNumberFormat="1" applyFont="1" applyBorder="1" applyAlignment="1">
      <alignment/>
      <protection/>
    </xf>
    <xf numFmtId="177" fontId="55" fillId="0" borderId="47" xfId="59" applyNumberFormat="1" applyFont="1" applyBorder="1">
      <alignment/>
      <protection/>
    </xf>
    <xf numFmtId="177" fontId="58" fillId="0" borderId="18" xfId="59" applyNumberFormat="1" applyFont="1" applyBorder="1" applyAlignment="1">
      <alignment/>
      <protection/>
    </xf>
    <xf numFmtId="177" fontId="60" fillId="0" borderId="47" xfId="59" applyNumberFormat="1" applyFont="1" applyBorder="1" applyAlignment="1">
      <alignment/>
      <protection/>
    </xf>
    <xf numFmtId="177" fontId="60" fillId="0" borderId="18" xfId="59" applyNumberFormat="1" applyFont="1" applyBorder="1" applyAlignment="1">
      <alignment/>
      <protection/>
    </xf>
    <xf numFmtId="177" fontId="60" fillId="0" borderId="47" xfId="59" applyNumberFormat="1" applyFont="1" applyBorder="1">
      <alignment/>
      <protection/>
    </xf>
    <xf numFmtId="177" fontId="60" fillId="0" borderId="47" xfId="59" applyNumberFormat="1" applyFont="1" applyFill="1" applyBorder="1" applyAlignment="1">
      <alignment/>
      <protection/>
    </xf>
    <xf numFmtId="177" fontId="60" fillId="0" borderId="18" xfId="59" applyNumberFormat="1" applyFont="1" applyFill="1" applyBorder="1" applyAlignment="1">
      <alignment/>
      <protection/>
    </xf>
    <xf numFmtId="177" fontId="58" fillId="0" borderId="47" xfId="59" applyNumberFormat="1" applyFont="1" applyFill="1" applyBorder="1" applyAlignment="1">
      <alignment/>
      <protection/>
    </xf>
    <xf numFmtId="177" fontId="58" fillId="0" borderId="18" xfId="59" applyNumberFormat="1" applyFont="1" applyFill="1" applyBorder="1" applyAlignment="1">
      <alignment/>
      <protection/>
    </xf>
    <xf numFmtId="177" fontId="60" fillId="0" borderId="46" xfId="59" applyNumberFormat="1" applyFont="1" applyBorder="1" applyAlignment="1">
      <alignment/>
      <protection/>
    </xf>
    <xf numFmtId="200" fontId="60" fillId="0" borderId="63" xfId="59" applyNumberFormat="1" applyFont="1" applyBorder="1" applyAlignment="1">
      <alignment/>
      <protection/>
    </xf>
    <xf numFmtId="177" fontId="55" fillId="0" borderId="19" xfId="59" applyNumberFormat="1" applyFont="1" applyBorder="1">
      <alignment/>
      <protection/>
    </xf>
    <xf numFmtId="177" fontId="58" fillId="0" borderId="0" xfId="59" applyNumberFormat="1" applyFont="1" applyBorder="1">
      <alignment/>
      <protection/>
    </xf>
    <xf numFmtId="177" fontId="60" fillId="0" borderId="0" xfId="59" applyNumberFormat="1" applyFont="1" applyBorder="1">
      <alignment/>
      <protection/>
    </xf>
    <xf numFmtId="177" fontId="60" fillId="0" borderId="0" xfId="59" applyNumberFormat="1" applyFont="1" applyBorder="1">
      <alignment/>
      <protection/>
    </xf>
    <xf numFmtId="177" fontId="60" fillId="0" borderId="0" xfId="59" applyNumberFormat="1" applyFont="1" applyFill="1" applyBorder="1">
      <alignment/>
      <protection/>
    </xf>
    <xf numFmtId="177" fontId="58" fillId="0" borderId="0" xfId="59" applyNumberFormat="1" applyFont="1" applyFill="1" applyBorder="1">
      <alignment/>
      <protection/>
    </xf>
    <xf numFmtId="177" fontId="60" fillId="0" borderId="0" xfId="59" applyNumberFormat="1" applyFont="1" applyFill="1" applyBorder="1">
      <alignment/>
      <protection/>
    </xf>
    <xf numFmtId="200" fontId="60" fillId="0" borderId="19" xfId="59" applyNumberFormat="1" applyFont="1" applyBorder="1" applyAlignment="1">
      <alignment/>
      <protection/>
    </xf>
    <xf numFmtId="200" fontId="60" fillId="0" borderId="43" xfId="59" applyNumberFormat="1" applyFont="1" applyBorder="1" applyAlignment="1">
      <alignment/>
      <protection/>
    </xf>
    <xf numFmtId="177" fontId="55" fillId="0" borderId="65" xfId="59" applyNumberFormat="1" applyFont="1" applyBorder="1">
      <alignment/>
      <protection/>
    </xf>
    <xf numFmtId="177" fontId="58" fillId="0" borderId="65" xfId="59" applyNumberFormat="1" applyFont="1" applyBorder="1">
      <alignment/>
      <protection/>
    </xf>
    <xf numFmtId="200" fontId="63" fillId="0" borderId="65" xfId="59" applyNumberFormat="1" applyFont="1" applyBorder="1" applyAlignment="1">
      <alignment/>
      <protection/>
    </xf>
    <xf numFmtId="198" fontId="60" fillId="0" borderId="65" xfId="59" applyNumberFormat="1" applyFont="1" applyBorder="1" applyAlignment="1">
      <alignment/>
      <protection/>
    </xf>
    <xf numFmtId="200" fontId="60" fillId="0" borderId="65" xfId="59" applyNumberFormat="1" applyFont="1" applyBorder="1" applyAlignment="1">
      <alignment/>
      <protection/>
    </xf>
    <xf numFmtId="204" fontId="60" fillId="0" borderId="66" xfId="59" applyNumberFormat="1" applyFont="1" applyBorder="1" applyAlignment="1">
      <alignment/>
      <protection/>
    </xf>
    <xf numFmtId="192" fontId="2" fillId="0" borderId="17" xfId="64" applyNumberFormat="1" applyFont="1" applyBorder="1" applyAlignment="1">
      <alignment horizontal="right" vertical="center"/>
      <protection/>
    </xf>
    <xf numFmtId="212" fontId="2" fillId="0" borderId="30" xfId="64" applyNumberFormat="1" applyFont="1" applyBorder="1" applyAlignment="1">
      <alignment horizontal="right" vertical="center"/>
      <protection/>
    </xf>
    <xf numFmtId="212" fontId="2" fillId="0" borderId="49" xfId="64" applyNumberFormat="1" applyFont="1" applyBorder="1" applyAlignment="1">
      <alignment horizontal="right" vertical="center"/>
      <protection/>
    </xf>
    <xf numFmtId="175" fontId="6" fillId="0" borderId="20" xfId="0" applyNumberFormat="1" applyFont="1" applyBorder="1" applyAlignment="1">
      <alignment horizontal="left" indent="5"/>
    </xf>
    <xf numFmtId="0" fontId="58" fillId="0" borderId="41" xfId="59" applyFont="1" applyBorder="1" applyAlignment="1">
      <alignment horizontal="center" vertical="center"/>
      <protection/>
    </xf>
    <xf numFmtId="0" fontId="58" fillId="0" borderId="72" xfId="59" applyFont="1" applyBorder="1" applyAlignment="1">
      <alignment horizontal="center" vertical="center"/>
      <protection/>
    </xf>
    <xf numFmtId="0" fontId="58" fillId="0" borderId="60" xfId="59" applyFont="1" applyBorder="1" applyAlignment="1">
      <alignment horizontal="center" vertical="center"/>
      <protection/>
    </xf>
    <xf numFmtId="0" fontId="58" fillId="0" borderId="73" xfId="59" applyFont="1" applyBorder="1" applyAlignment="1">
      <alignment horizontal="center" vertical="center"/>
      <protection/>
    </xf>
    <xf numFmtId="0" fontId="58" fillId="0" borderId="41" xfId="59" applyFont="1" applyBorder="1" applyAlignment="1">
      <alignment horizontal="center" vertical="center"/>
      <protection/>
    </xf>
    <xf numFmtId="0" fontId="58" fillId="0" borderId="62" xfId="59" applyFont="1" applyBorder="1" applyAlignment="1">
      <alignment horizontal="center" vertical="center"/>
      <protection/>
    </xf>
    <xf numFmtId="0" fontId="58" fillId="0" borderId="43" xfId="59" applyFont="1" applyBorder="1" applyAlignment="1">
      <alignment horizontal="center" vertical="center"/>
      <protection/>
    </xf>
    <xf numFmtId="0" fontId="58" fillId="0" borderId="72" xfId="59" applyFont="1" applyBorder="1" applyAlignment="1">
      <alignment horizontal="center" vertical="center"/>
      <protection/>
    </xf>
    <xf numFmtId="17" fontId="6" fillId="0" borderId="61" xfId="0" applyNumberFormat="1" applyFont="1" applyBorder="1" applyAlignment="1">
      <alignment horizontal="center" vertical="center"/>
    </xf>
    <xf numFmtId="17" fontId="6" fillId="0" borderId="37" xfId="0" applyNumberFormat="1" applyFont="1" applyBorder="1" applyAlignment="1">
      <alignment horizontal="center" vertical="center"/>
    </xf>
    <xf numFmtId="17" fontId="6" fillId="0" borderId="33" xfId="0" applyNumberFormat="1" applyFont="1" applyBorder="1" applyAlignment="1">
      <alignment horizontal="center" vertical="center"/>
    </xf>
    <xf numFmtId="17" fontId="6" fillId="0" borderId="38" xfId="0" applyNumberFormat="1" applyFont="1" applyBorder="1" applyAlignment="1">
      <alignment horizontal="center" vertical="center"/>
    </xf>
    <xf numFmtId="0" fontId="2" fillId="0" borderId="13" xfId="62" applyFont="1" applyBorder="1" applyAlignment="1">
      <alignment horizontal="center" vertical="center"/>
      <protection/>
    </xf>
    <xf numFmtId="0" fontId="2" fillId="0" borderId="34" xfId="62" applyFont="1" applyBorder="1" applyAlignment="1">
      <alignment horizontal="center" vertical="center"/>
      <protection/>
    </xf>
    <xf numFmtId="0" fontId="2" fillId="0" borderId="35" xfId="62" applyFont="1" applyBorder="1" applyAlignment="1">
      <alignment horizontal="center" vertical="center"/>
      <protection/>
    </xf>
    <xf numFmtId="0" fontId="2" fillId="0" borderId="74" xfId="62" applyFont="1" applyBorder="1" applyAlignment="1">
      <alignment horizontal="center" vertical="center"/>
      <protection/>
    </xf>
    <xf numFmtId="0" fontId="2" fillId="0" borderId="29" xfId="62" applyFont="1" applyBorder="1" applyAlignment="1">
      <alignment horizontal="center" vertical="center"/>
      <protection/>
    </xf>
    <xf numFmtId="0" fontId="2" fillId="0" borderId="75" xfId="62" applyFont="1" applyBorder="1" applyAlignment="1">
      <alignment horizontal="center" vertical="center"/>
      <protection/>
    </xf>
    <xf numFmtId="17" fontId="2" fillId="0" borderId="50" xfId="62" applyNumberFormat="1" applyFont="1" applyBorder="1" applyAlignment="1">
      <alignment horizontal="center" vertical="center"/>
      <protection/>
    </xf>
    <xf numFmtId="17" fontId="2" fillId="0" borderId="31" xfId="62" applyNumberFormat="1" applyFont="1" applyBorder="1" applyAlignment="1">
      <alignment horizontal="center" vertical="center"/>
      <protection/>
    </xf>
    <xf numFmtId="17" fontId="2" fillId="0" borderId="32" xfId="62" applyNumberFormat="1" applyFont="1" applyBorder="1" applyAlignment="1">
      <alignment horizontal="center" vertical="center"/>
      <protection/>
    </xf>
    <xf numFmtId="0" fontId="2" fillId="0" borderId="17" xfId="62" applyFont="1" applyBorder="1" applyAlignment="1">
      <alignment horizontal="center" vertical="center"/>
      <protection/>
    </xf>
    <xf numFmtId="0" fontId="2" fillId="0" borderId="11" xfId="62" applyFont="1" applyBorder="1" applyAlignment="1">
      <alignment horizontal="center" vertical="center"/>
      <protection/>
    </xf>
    <xf numFmtId="0" fontId="2" fillId="0" borderId="12" xfId="62" applyFont="1" applyBorder="1" applyAlignment="1">
      <alignment horizontal="center" vertical="center"/>
      <protection/>
    </xf>
    <xf numFmtId="0" fontId="7" fillId="0" borderId="17" xfId="63" applyFont="1" applyBorder="1" applyAlignment="1">
      <alignment horizontal="center" vertical="center"/>
      <protection/>
    </xf>
    <xf numFmtId="0" fontId="7" fillId="0" borderId="12" xfId="63" applyFont="1" applyBorder="1" applyAlignment="1">
      <alignment horizontal="center" vertical="center"/>
      <protection/>
    </xf>
    <xf numFmtId="0" fontId="6" fillId="0" borderId="61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2" fillId="0" borderId="13" xfId="65" applyFont="1" applyBorder="1" applyAlignment="1">
      <alignment horizontal="center" vertical="center"/>
      <protection/>
    </xf>
    <xf numFmtId="0" fontId="2" fillId="0" borderId="34" xfId="65" applyFont="1" applyBorder="1" applyAlignment="1">
      <alignment horizontal="center" vertical="center"/>
      <protection/>
    </xf>
    <xf numFmtId="0" fontId="2" fillId="0" borderId="35" xfId="65" applyFont="1" applyBorder="1" applyAlignment="1">
      <alignment horizontal="center" vertical="center"/>
      <protection/>
    </xf>
    <xf numFmtId="0" fontId="41" fillId="0" borderId="52" xfId="59" applyFont="1" applyBorder="1" applyAlignment="1">
      <alignment horizontal="center" vertical="center"/>
      <protection/>
    </xf>
    <xf numFmtId="0" fontId="23" fillId="0" borderId="46" xfId="59" applyBorder="1" applyAlignment="1">
      <alignment horizontal="center" vertical="center"/>
      <protection/>
    </xf>
    <xf numFmtId="0" fontId="41" fillId="0" borderId="31" xfId="59" applyFont="1" applyBorder="1" applyAlignment="1">
      <alignment horizontal="center"/>
      <protection/>
    </xf>
    <xf numFmtId="0" fontId="41" fillId="0" borderId="55" xfId="59" applyFont="1" applyBorder="1" applyAlignment="1">
      <alignment horizontal="center" vertical="center"/>
      <protection/>
    </xf>
    <xf numFmtId="0" fontId="23" fillId="0" borderId="63" xfId="59" applyBorder="1" applyAlignment="1">
      <alignment horizontal="center" vertical="center"/>
      <protection/>
    </xf>
    <xf numFmtId="0" fontId="51" fillId="0" borderId="34" xfId="59" applyFont="1" applyBorder="1" applyAlignment="1">
      <alignment horizontal="left" wrapText="1"/>
      <protection/>
    </xf>
    <xf numFmtId="0" fontId="51" fillId="0" borderId="0" xfId="59" applyFont="1" applyBorder="1" applyAlignment="1">
      <alignment horizontal="left" wrapText="1"/>
      <protection/>
    </xf>
    <xf numFmtId="0" fontId="51" fillId="0" borderId="13" xfId="59" applyFont="1" applyBorder="1" applyAlignment="1">
      <alignment horizontal="center" vertical="center"/>
      <protection/>
    </xf>
    <xf numFmtId="0" fontId="51" fillId="0" borderId="10" xfId="59" applyFont="1" applyBorder="1" applyAlignment="1">
      <alignment horizontal="center" vertical="center"/>
      <protection/>
    </xf>
    <xf numFmtId="0" fontId="23" fillId="0" borderId="35" xfId="59" applyBorder="1" applyAlignment="1">
      <alignment vertical="center"/>
      <protection/>
    </xf>
    <xf numFmtId="0" fontId="23" fillId="0" borderId="39" xfId="59" applyBorder="1" applyAlignment="1">
      <alignment vertical="center"/>
      <protection/>
    </xf>
    <xf numFmtId="0" fontId="51" fillId="0" borderId="52" xfId="59" applyFont="1" applyBorder="1" applyAlignment="1">
      <alignment horizontal="center" vertical="center"/>
      <protection/>
    </xf>
    <xf numFmtId="0" fontId="51" fillId="0" borderId="31" xfId="59" applyFont="1" applyBorder="1" applyAlignment="1">
      <alignment horizontal="center" vertical="center"/>
      <protection/>
    </xf>
    <xf numFmtId="0" fontId="51" fillId="0" borderId="55" xfId="59" applyFont="1" applyBorder="1" applyAlignment="1">
      <alignment horizontal="center" vertical="center"/>
      <protection/>
    </xf>
    <xf numFmtId="0" fontId="23" fillId="0" borderId="74" xfId="59" applyBorder="1" applyAlignment="1">
      <alignment horizontal="center" vertical="center"/>
      <protection/>
    </xf>
    <xf numFmtId="0" fontId="23" fillId="0" borderId="76" xfId="59" applyBorder="1" applyAlignment="1">
      <alignment horizontal="center" vertical="center"/>
      <protection/>
    </xf>
    <xf numFmtId="0" fontId="23" fillId="0" borderId="77" xfId="59" applyBorder="1" applyAlignment="1">
      <alignment horizontal="center" vertical="center"/>
      <protection/>
    </xf>
    <xf numFmtId="0" fontId="58" fillId="0" borderId="13" xfId="59" applyFont="1" applyBorder="1" applyAlignment="1">
      <alignment horizontal="center" vertical="center"/>
      <protection/>
    </xf>
    <xf numFmtId="0" fontId="58" fillId="0" borderId="52" xfId="59" applyFont="1" applyBorder="1" applyAlignment="1">
      <alignment horizontal="center" vertical="center"/>
      <protection/>
    </xf>
    <xf numFmtId="0" fontId="23" fillId="0" borderId="46" xfId="59" applyBorder="1" applyAlignment="1">
      <alignment vertical="center"/>
      <protection/>
    </xf>
    <xf numFmtId="0" fontId="58" fillId="0" borderId="55" xfId="59" applyFont="1" applyBorder="1" applyAlignment="1">
      <alignment horizontal="center" vertical="center"/>
      <protection/>
    </xf>
    <xf numFmtId="0" fontId="23" fillId="0" borderId="63" xfId="59" applyBorder="1" applyAlignment="1">
      <alignment vertical="center"/>
      <protection/>
    </xf>
    <xf numFmtId="0" fontId="51" fillId="0" borderId="59" xfId="59" applyFont="1" applyBorder="1" applyAlignment="1">
      <alignment horizontal="center" vertical="center"/>
      <protection/>
    </xf>
    <xf numFmtId="0" fontId="23" fillId="0" borderId="56" xfId="59" applyBorder="1" applyAlignment="1">
      <alignment vertical="center"/>
      <protection/>
    </xf>
    <xf numFmtId="0" fontId="58" fillId="0" borderId="59" xfId="59" applyFont="1" applyBorder="1" applyAlignment="1">
      <alignment horizontal="center" vertical="center"/>
      <protection/>
    </xf>
    <xf numFmtId="0" fontId="51" fillId="0" borderId="78" xfId="59" applyFont="1" applyBorder="1" applyAlignment="1">
      <alignment horizontal="center" vertical="center"/>
      <protection/>
    </xf>
    <xf numFmtId="0" fontId="51" fillId="0" borderId="79" xfId="59" applyFont="1" applyBorder="1" applyAlignment="1">
      <alignment horizontal="center" vertical="center"/>
      <protection/>
    </xf>
    <xf numFmtId="0" fontId="51" fillId="0" borderId="80" xfId="59" applyFont="1" applyBorder="1" applyAlignment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_EOEQR109" xfId="54"/>
    <cellStyle name="Input" xfId="55"/>
    <cellStyle name="Linked Cell" xfId="56"/>
    <cellStyle name="Neutral" xfId="57"/>
    <cellStyle name="Normal_Aimee" xfId="58"/>
    <cellStyle name="Normal_EOEQR109" xfId="59"/>
    <cellStyle name="Normal_June 2000" xfId="60"/>
    <cellStyle name="Normal_TAB1-3" xfId="61"/>
    <cellStyle name="Normal_TAB1-4" xfId="62"/>
    <cellStyle name="Normal_TAB1-5" xfId="63"/>
    <cellStyle name="Normal_TAB1-6" xfId="64"/>
    <cellStyle name="Normal_TAB1-8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95250</xdr:colOff>
      <xdr:row>0</xdr:row>
      <xdr:rowOff>0</xdr:rowOff>
    </xdr:from>
    <xdr:to>
      <xdr:col>15</xdr:col>
      <xdr:colOff>0</xdr:colOff>
      <xdr:row>26</xdr:row>
      <xdr:rowOff>152400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9105900" y="0"/>
          <a:ext cx="419100" cy="6810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- 4 -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28575</xdr:colOff>
      <xdr:row>0</xdr:row>
      <xdr:rowOff>66675</xdr:rowOff>
    </xdr:from>
    <xdr:ext cx="438150" cy="6734175"/>
    <xdr:sp>
      <xdr:nvSpPr>
        <xdr:cNvPr id="1" name="Text Box 1"/>
        <xdr:cNvSpPr txBox="1">
          <a:spLocks noChangeArrowheads="1"/>
        </xdr:cNvSpPr>
      </xdr:nvSpPr>
      <xdr:spPr>
        <a:xfrm>
          <a:off x="8915400" y="66675"/>
          <a:ext cx="438150" cy="673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- 13 -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66675</xdr:colOff>
      <xdr:row>0</xdr:row>
      <xdr:rowOff>76200</xdr:rowOff>
    </xdr:from>
    <xdr:ext cx="361950" cy="6819900"/>
    <xdr:sp>
      <xdr:nvSpPr>
        <xdr:cNvPr id="1" name="Text Box 1"/>
        <xdr:cNvSpPr txBox="1">
          <a:spLocks noChangeArrowheads="1"/>
        </xdr:cNvSpPr>
      </xdr:nvSpPr>
      <xdr:spPr>
        <a:xfrm>
          <a:off x="8915400" y="76200"/>
          <a:ext cx="361950" cy="6819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- 14 -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76200</xdr:colOff>
      <xdr:row>0</xdr:row>
      <xdr:rowOff>47625</xdr:rowOff>
    </xdr:from>
    <xdr:ext cx="476250" cy="7038975"/>
    <xdr:sp>
      <xdr:nvSpPr>
        <xdr:cNvPr id="1" name="Text Box 1"/>
        <xdr:cNvSpPr txBox="1">
          <a:spLocks noChangeArrowheads="1"/>
        </xdr:cNvSpPr>
      </xdr:nvSpPr>
      <xdr:spPr>
        <a:xfrm>
          <a:off x="8410575" y="47625"/>
          <a:ext cx="476250" cy="7038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- 15 -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85725</xdr:colOff>
      <xdr:row>0</xdr:row>
      <xdr:rowOff>95250</xdr:rowOff>
    </xdr:from>
    <xdr:ext cx="381000" cy="6867525"/>
    <xdr:sp>
      <xdr:nvSpPr>
        <xdr:cNvPr id="1" name="Text Box 1"/>
        <xdr:cNvSpPr txBox="1">
          <a:spLocks noChangeArrowheads="1"/>
        </xdr:cNvSpPr>
      </xdr:nvSpPr>
      <xdr:spPr>
        <a:xfrm>
          <a:off x="8620125" y="95250"/>
          <a:ext cx="381000" cy="6867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- 16 -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0</xdr:row>
      <xdr:rowOff>66675</xdr:rowOff>
    </xdr:from>
    <xdr:to>
      <xdr:col>9</xdr:col>
      <xdr:colOff>657225</xdr:colOff>
      <xdr:row>19</xdr:row>
      <xdr:rowOff>561975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15350" y="66675"/>
          <a:ext cx="628650" cy="640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- 5 -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0</xdr:row>
      <xdr:rowOff>0</xdr:rowOff>
    </xdr:from>
    <xdr:to>
      <xdr:col>17</xdr:col>
      <xdr:colOff>590550</xdr:colOff>
      <xdr:row>20</xdr:row>
      <xdr:rowOff>628650</xdr:rowOff>
    </xdr:to>
    <xdr:sp>
      <xdr:nvSpPr>
        <xdr:cNvPr id="1" name="Text 1"/>
        <xdr:cNvSpPr txBox="1">
          <a:spLocks noChangeArrowheads="1"/>
        </xdr:cNvSpPr>
      </xdr:nvSpPr>
      <xdr:spPr>
        <a:xfrm>
          <a:off x="8972550" y="0"/>
          <a:ext cx="485775" cy="6276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- 6 -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133350</xdr:colOff>
      <xdr:row>0</xdr:row>
      <xdr:rowOff>38100</xdr:rowOff>
    </xdr:from>
    <xdr:to>
      <xdr:col>25</xdr:col>
      <xdr:colOff>600075</xdr:colOff>
      <xdr:row>15</xdr:row>
      <xdr:rowOff>123825</xdr:rowOff>
    </xdr:to>
    <xdr:sp>
      <xdr:nvSpPr>
        <xdr:cNvPr id="1" name="Text 4"/>
        <xdr:cNvSpPr txBox="1">
          <a:spLocks noChangeArrowheads="1"/>
        </xdr:cNvSpPr>
      </xdr:nvSpPr>
      <xdr:spPr>
        <a:xfrm>
          <a:off x="9039225" y="38100"/>
          <a:ext cx="466725" cy="6248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- 7 -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0</xdr:rowOff>
    </xdr:from>
    <xdr:to>
      <xdr:col>5</xdr:col>
      <xdr:colOff>552450</xdr:colOff>
      <xdr:row>18</xdr:row>
      <xdr:rowOff>95250</xdr:rowOff>
    </xdr:to>
    <xdr:sp>
      <xdr:nvSpPr>
        <xdr:cNvPr id="1" name="Text 1"/>
        <xdr:cNvSpPr txBox="1">
          <a:spLocks noChangeArrowheads="1"/>
        </xdr:cNvSpPr>
      </xdr:nvSpPr>
      <xdr:spPr>
        <a:xfrm>
          <a:off x="8162925" y="0"/>
          <a:ext cx="485775" cy="6315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- 8 -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0</xdr:row>
      <xdr:rowOff>0</xdr:rowOff>
    </xdr:from>
    <xdr:to>
      <xdr:col>9</xdr:col>
      <xdr:colOff>533400</xdr:colOff>
      <xdr:row>20</xdr:row>
      <xdr:rowOff>495300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648700" y="0"/>
          <a:ext cx="466725" cy="6248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- 9 -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0</xdr:row>
      <xdr:rowOff>95250</xdr:rowOff>
    </xdr:from>
    <xdr:to>
      <xdr:col>7</xdr:col>
      <xdr:colOff>314325</xdr:colOff>
      <xdr:row>19</xdr:row>
      <xdr:rowOff>333375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667750" y="95250"/>
          <a:ext cx="0" cy="570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- 10 -</a:t>
          </a:r>
        </a:p>
      </xdr:txBody>
    </xdr:sp>
    <xdr:clientData/>
  </xdr:twoCellAnchor>
  <xdr:twoCellAnchor>
    <xdr:from>
      <xdr:col>8</xdr:col>
      <xdr:colOff>66675</xdr:colOff>
      <xdr:row>0</xdr:row>
      <xdr:rowOff>66675</xdr:rowOff>
    </xdr:from>
    <xdr:to>
      <xdr:col>8</xdr:col>
      <xdr:colOff>561975</xdr:colOff>
      <xdr:row>19</xdr:row>
      <xdr:rowOff>361950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734425" y="66675"/>
          <a:ext cx="495300" cy="576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-10 -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0</xdr:row>
      <xdr:rowOff>38100</xdr:rowOff>
    </xdr:from>
    <xdr:to>
      <xdr:col>13</xdr:col>
      <xdr:colOff>590550</xdr:colOff>
      <xdr:row>24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696325" y="38100"/>
          <a:ext cx="581025" cy="6600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- 11 -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28575</xdr:colOff>
      <xdr:row>0</xdr:row>
      <xdr:rowOff>47625</xdr:rowOff>
    </xdr:from>
    <xdr:ext cx="523875" cy="4953000"/>
    <xdr:sp>
      <xdr:nvSpPr>
        <xdr:cNvPr id="1" name="Text Box 1"/>
        <xdr:cNvSpPr txBox="1">
          <a:spLocks noChangeArrowheads="1"/>
        </xdr:cNvSpPr>
      </xdr:nvSpPr>
      <xdr:spPr>
        <a:xfrm>
          <a:off x="8715375" y="47625"/>
          <a:ext cx="523875" cy="495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- 12 -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"/>
  <sheetViews>
    <sheetView showZeros="0" zoomScalePageLayoutView="0" workbookViewId="0" topLeftCell="A1">
      <pane xSplit="1" ySplit="4" topLeftCell="H5" activePane="bottomRight" state="frozen"/>
      <selection pane="topLeft" activeCell="P7" sqref="P7"/>
      <selection pane="topRight" activeCell="P7" sqref="P7"/>
      <selection pane="bottomLeft" activeCell="P7" sqref="P7"/>
      <selection pane="bottomRight" activeCell="N23" sqref="N23"/>
    </sheetView>
  </sheetViews>
  <sheetFormatPr defaultColWidth="9.140625" defaultRowHeight="12.75"/>
  <cols>
    <col min="1" max="1" width="34.8515625" style="83" customWidth="1"/>
    <col min="2" max="4" width="7.7109375" style="84" customWidth="1"/>
    <col min="5" max="13" width="7.7109375" style="83" customWidth="1"/>
    <col min="14" max="14" width="7.7109375" style="86" customWidth="1"/>
    <col min="15" max="15" width="7.7109375" style="83" customWidth="1"/>
    <col min="16" max="16384" width="9.140625" style="83" customWidth="1"/>
  </cols>
  <sheetData>
    <row r="1" spans="1:13" ht="21.75" customHeight="1">
      <c r="A1" s="203" t="s">
        <v>184</v>
      </c>
      <c r="E1" s="85"/>
      <c r="F1" s="85"/>
      <c r="G1" s="85"/>
      <c r="H1" s="85"/>
      <c r="I1" s="85"/>
      <c r="J1" s="85"/>
      <c r="K1" s="85"/>
      <c r="L1" s="85"/>
      <c r="M1" s="85"/>
    </row>
    <row r="2" spans="1:2" ht="8.25" customHeight="1" thickBot="1">
      <c r="A2" s="202"/>
      <c r="B2" s="87" t="s">
        <v>18</v>
      </c>
    </row>
    <row r="3" ht="4.5" customHeight="1" hidden="1" thickBot="1"/>
    <row r="4" spans="1:25" s="86" customFormat="1" ht="21.75" customHeight="1">
      <c r="A4" s="88"/>
      <c r="B4" s="89">
        <v>1996</v>
      </c>
      <c r="C4" s="1">
        <v>1997</v>
      </c>
      <c r="D4" s="1">
        <v>1998</v>
      </c>
      <c r="E4" s="1">
        <v>1999</v>
      </c>
      <c r="F4" s="1">
        <v>2000</v>
      </c>
      <c r="G4" s="1">
        <v>2001</v>
      </c>
      <c r="H4" s="1">
        <v>2002</v>
      </c>
      <c r="I4" s="1">
        <v>2003</v>
      </c>
      <c r="J4" s="1">
        <v>2004</v>
      </c>
      <c r="K4" s="1">
        <v>2005</v>
      </c>
      <c r="L4" s="1">
        <v>2006</v>
      </c>
      <c r="M4" s="1" t="s">
        <v>185</v>
      </c>
      <c r="N4" s="304" t="s">
        <v>186</v>
      </c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</row>
    <row r="5" spans="1:25" s="86" customFormat="1" ht="22.5" customHeight="1">
      <c r="A5" s="90" t="s">
        <v>19</v>
      </c>
      <c r="B5" s="218">
        <v>481</v>
      </c>
      <c r="C5" s="218">
        <v>480</v>
      </c>
      <c r="D5" s="218">
        <v>495</v>
      </c>
      <c r="E5" s="218">
        <v>512</v>
      </c>
      <c r="F5" s="218">
        <v>518</v>
      </c>
      <c r="G5" s="218">
        <v>522</v>
      </c>
      <c r="H5" s="218">
        <v>506</v>
      </c>
      <c r="I5" s="218">
        <v>506</v>
      </c>
      <c r="J5" s="218">
        <v>501</v>
      </c>
      <c r="K5" s="218">
        <v>506</v>
      </c>
      <c r="L5" s="218">
        <v>441</v>
      </c>
      <c r="M5" s="218">
        <v>404</v>
      </c>
      <c r="N5" s="305">
        <v>412</v>
      </c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</row>
    <row r="6" spans="1:25" s="86" customFormat="1" ht="22.5" customHeight="1">
      <c r="A6" s="216" t="s">
        <v>20</v>
      </c>
      <c r="B6" s="219">
        <v>43</v>
      </c>
      <c r="C6" s="219">
        <v>26</v>
      </c>
      <c r="D6" s="219">
        <v>48</v>
      </c>
      <c r="E6" s="219">
        <v>37</v>
      </c>
      <c r="F6" s="219">
        <v>34</v>
      </c>
      <c r="G6" s="219">
        <v>24</v>
      </c>
      <c r="H6" s="219">
        <v>9</v>
      </c>
      <c r="I6" s="219">
        <v>23</v>
      </c>
      <c r="J6" s="219">
        <v>20</v>
      </c>
      <c r="K6" s="219">
        <v>24</v>
      </c>
      <c r="L6" s="219">
        <v>17</v>
      </c>
      <c r="M6" s="219">
        <v>18</v>
      </c>
      <c r="N6" s="306">
        <v>43</v>
      </c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</row>
    <row r="7" spans="1:25" s="86" customFormat="1" ht="22.5" customHeight="1">
      <c r="A7" s="216" t="s">
        <v>21</v>
      </c>
      <c r="B7" s="219">
        <v>43</v>
      </c>
      <c r="C7" s="219">
        <v>27</v>
      </c>
      <c r="D7" s="219">
        <v>33</v>
      </c>
      <c r="E7" s="219">
        <v>20</v>
      </c>
      <c r="F7" s="219">
        <v>28</v>
      </c>
      <c r="G7" s="219">
        <v>20</v>
      </c>
      <c r="H7" s="219">
        <v>25</v>
      </c>
      <c r="I7" s="219">
        <v>23</v>
      </c>
      <c r="J7" s="219">
        <v>25</v>
      </c>
      <c r="K7" s="219">
        <v>19</v>
      </c>
      <c r="L7" s="219">
        <v>82</v>
      </c>
      <c r="M7" s="219">
        <v>55</v>
      </c>
      <c r="N7" s="306">
        <v>35</v>
      </c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</row>
    <row r="8" spans="1:25" s="86" customFormat="1" ht="22.5" customHeight="1">
      <c r="A8" s="90" t="s">
        <v>22</v>
      </c>
      <c r="B8" s="219">
        <v>79793</v>
      </c>
      <c r="C8" s="219">
        <v>83391</v>
      </c>
      <c r="D8" s="219">
        <v>90116</v>
      </c>
      <c r="E8" s="219">
        <v>91374</v>
      </c>
      <c r="F8" s="219">
        <v>90682</v>
      </c>
      <c r="G8" s="219">
        <v>87607</v>
      </c>
      <c r="H8" s="219">
        <v>87204</v>
      </c>
      <c r="I8" s="219">
        <v>77623</v>
      </c>
      <c r="J8" s="219">
        <v>68022</v>
      </c>
      <c r="K8" s="219">
        <v>66931</v>
      </c>
      <c r="L8" s="219">
        <v>64962</v>
      </c>
      <c r="M8" s="219">
        <v>67314</v>
      </c>
      <c r="N8" s="306">
        <v>62276</v>
      </c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</row>
    <row r="9" spans="1:25" s="86" customFormat="1" ht="22.5" customHeight="1">
      <c r="A9" s="216" t="s">
        <v>23</v>
      </c>
      <c r="B9" s="220">
        <v>673</v>
      </c>
      <c r="C9" s="221">
        <v>3598</v>
      </c>
      <c r="D9" s="222">
        <v>6725</v>
      </c>
      <c r="E9" s="222">
        <v>1258</v>
      </c>
      <c r="F9" s="220">
        <v>692</v>
      </c>
      <c r="G9" s="220">
        <v>3075</v>
      </c>
      <c r="H9" s="220">
        <v>403</v>
      </c>
      <c r="I9" s="220">
        <v>9581</v>
      </c>
      <c r="J9" s="220">
        <v>9601</v>
      </c>
      <c r="K9" s="220">
        <v>1091</v>
      </c>
      <c r="L9" s="220">
        <v>1969</v>
      </c>
      <c r="M9" s="221">
        <v>2352</v>
      </c>
      <c r="N9" s="305">
        <f>N8-M8</f>
        <v>-5038</v>
      </c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</row>
    <row r="10" spans="1:25" s="86" customFormat="1" ht="22.5" customHeight="1">
      <c r="A10" s="216" t="s">
        <v>24</v>
      </c>
      <c r="B10" s="223">
        <v>0.836378097581587</v>
      </c>
      <c r="C10" s="224">
        <v>4.509167470830774</v>
      </c>
      <c r="D10" s="224">
        <v>8.1</v>
      </c>
      <c r="E10" s="224">
        <v>1.4</v>
      </c>
      <c r="F10" s="223">
        <v>0.836378097581587</v>
      </c>
      <c r="G10" s="223">
        <v>3.4</v>
      </c>
      <c r="H10" s="223">
        <v>0.5</v>
      </c>
      <c r="I10" s="223">
        <v>11</v>
      </c>
      <c r="J10" s="223">
        <v>12.4</v>
      </c>
      <c r="K10" s="223">
        <v>1.6</v>
      </c>
      <c r="L10" s="223">
        <v>2.9</v>
      </c>
      <c r="M10" s="303">
        <v>3.6</v>
      </c>
      <c r="N10" s="307">
        <f>(N8/M8-1)*100</f>
        <v>-7.484327183052564</v>
      </c>
      <c r="O10" s="83"/>
      <c r="P10" s="93"/>
      <c r="Q10" s="83"/>
      <c r="R10" s="83"/>
      <c r="S10" s="83"/>
      <c r="T10" s="83"/>
      <c r="U10" s="83"/>
      <c r="V10" s="83"/>
      <c r="W10" s="83"/>
      <c r="X10" s="83"/>
      <c r="Y10" s="83"/>
    </row>
    <row r="11" spans="1:25" s="86" customFormat="1" ht="22.5" customHeight="1">
      <c r="A11" s="94" t="s">
        <v>25</v>
      </c>
      <c r="B11" s="219">
        <v>21001</v>
      </c>
      <c r="C11" s="219">
        <v>23049</v>
      </c>
      <c r="D11" s="219">
        <v>26075</v>
      </c>
      <c r="E11" s="219">
        <v>29131</v>
      </c>
      <c r="F11" s="219">
        <v>30961</v>
      </c>
      <c r="G11" s="219">
        <v>33695</v>
      </c>
      <c r="H11" s="219">
        <v>32683</v>
      </c>
      <c r="I11" s="219">
        <v>31444</v>
      </c>
      <c r="J11" s="219">
        <v>32046</v>
      </c>
      <c r="K11" s="219">
        <v>28954</v>
      </c>
      <c r="L11" s="219">
        <v>33610</v>
      </c>
      <c r="M11" s="219">
        <v>37840</v>
      </c>
      <c r="N11" s="306">
        <v>34932</v>
      </c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</row>
    <row r="12" spans="1:25" s="86" customFormat="1" ht="22.5" customHeight="1">
      <c r="A12" s="90" t="s">
        <v>26</v>
      </c>
      <c r="B12" s="218">
        <v>12077</v>
      </c>
      <c r="C12" s="218">
        <v>13880</v>
      </c>
      <c r="D12" s="218">
        <v>16179</v>
      </c>
      <c r="E12" s="218">
        <v>15735</v>
      </c>
      <c r="F12" s="218">
        <v>16399</v>
      </c>
      <c r="G12" s="218">
        <v>17140</v>
      </c>
      <c r="H12" s="218">
        <v>16909</v>
      </c>
      <c r="I12" s="218">
        <v>15579</v>
      </c>
      <c r="J12" s="218">
        <v>17195</v>
      </c>
      <c r="K12" s="218">
        <v>15518</v>
      </c>
      <c r="L12" s="218">
        <v>19026</v>
      </c>
      <c r="M12" s="218">
        <v>21036</v>
      </c>
      <c r="N12" s="305">
        <v>19896</v>
      </c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</row>
    <row r="13" spans="1:25" s="86" customFormat="1" ht="22.5" customHeight="1">
      <c r="A13" s="216" t="s">
        <v>27</v>
      </c>
      <c r="B13" s="226">
        <v>10960</v>
      </c>
      <c r="C13" s="226">
        <v>12442</v>
      </c>
      <c r="D13" s="226">
        <v>14693</v>
      </c>
      <c r="E13" s="226">
        <v>13891</v>
      </c>
      <c r="F13" s="226">
        <v>14700</v>
      </c>
      <c r="G13" s="226">
        <v>15637</v>
      </c>
      <c r="H13" s="226">
        <v>15251</v>
      </c>
      <c r="I13" s="226">
        <v>14079</v>
      </c>
      <c r="J13" s="226">
        <v>14734</v>
      </c>
      <c r="K13" s="226">
        <v>13658</v>
      </c>
      <c r="L13" s="226">
        <v>16791</v>
      </c>
      <c r="M13" s="226">
        <v>18269</v>
      </c>
      <c r="N13" s="308">
        <v>18764</v>
      </c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</row>
    <row r="14" spans="1:25" s="86" customFormat="1" ht="22.5" customHeight="1">
      <c r="A14" s="216" t="s">
        <v>28</v>
      </c>
      <c r="B14" s="226">
        <v>1117</v>
      </c>
      <c r="C14" s="226">
        <v>1438</v>
      </c>
      <c r="D14" s="226">
        <v>1486</v>
      </c>
      <c r="E14" s="226">
        <v>1844</v>
      </c>
      <c r="F14" s="226">
        <v>1699</v>
      </c>
      <c r="G14" s="226">
        <v>1503</v>
      </c>
      <c r="H14" s="226">
        <v>1658</v>
      </c>
      <c r="I14" s="226">
        <v>1500</v>
      </c>
      <c r="J14" s="226">
        <v>2461</v>
      </c>
      <c r="K14" s="226">
        <v>1860</v>
      </c>
      <c r="L14" s="226">
        <v>2235</v>
      </c>
      <c r="M14" s="226">
        <v>2767</v>
      </c>
      <c r="N14" s="308">
        <v>1132</v>
      </c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</row>
    <row r="15" spans="1:25" s="86" customFormat="1" ht="22.5" customHeight="1">
      <c r="A15" s="92" t="s">
        <v>29</v>
      </c>
      <c r="B15" s="218">
        <v>8924</v>
      </c>
      <c r="C15" s="218">
        <v>9169</v>
      </c>
      <c r="D15" s="218">
        <v>9896</v>
      </c>
      <c r="E15" s="218">
        <v>13396</v>
      </c>
      <c r="F15" s="218">
        <v>14562</v>
      </c>
      <c r="G15" s="218">
        <v>16555</v>
      </c>
      <c r="H15" s="218">
        <v>15774</v>
      </c>
      <c r="I15" s="218">
        <v>15865</v>
      </c>
      <c r="J15" s="218">
        <v>14851</v>
      </c>
      <c r="K15" s="218">
        <f>K11-K12</f>
        <v>13436</v>
      </c>
      <c r="L15" s="218">
        <f>L11-L12</f>
        <v>14584</v>
      </c>
      <c r="M15" s="218">
        <v>16804</v>
      </c>
      <c r="N15" s="305">
        <f>N11-N12</f>
        <v>15036</v>
      </c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</row>
    <row r="16" spans="1:25" s="86" customFormat="1" ht="22.5" customHeight="1">
      <c r="A16" s="92" t="s">
        <v>30</v>
      </c>
      <c r="B16" s="225">
        <v>42.5</v>
      </c>
      <c r="C16" s="225">
        <v>39.8</v>
      </c>
      <c r="D16" s="225">
        <v>38</v>
      </c>
      <c r="E16" s="225">
        <v>46</v>
      </c>
      <c r="F16" s="225">
        <v>47</v>
      </c>
      <c r="G16" s="225">
        <v>49.1</v>
      </c>
      <c r="H16" s="225">
        <v>48.3</v>
      </c>
      <c r="I16" s="225">
        <v>50.4</v>
      </c>
      <c r="J16" s="225">
        <v>46.3</v>
      </c>
      <c r="K16" s="225">
        <f>K15*100/K11</f>
        <v>46.404641845686264</v>
      </c>
      <c r="L16" s="225">
        <v>43.4</v>
      </c>
      <c r="M16" s="225">
        <v>44.4</v>
      </c>
      <c r="N16" s="307">
        <f>N15/N11*100</f>
        <v>43.04362761937479</v>
      </c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</row>
    <row r="17" spans="1:25" s="86" customFormat="1" ht="22.5" customHeight="1">
      <c r="A17" s="92" t="s">
        <v>72</v>
      </c>
      <c r="B17" s="218">
        <v>8202</v>
      </c>
      <c r="C17" s="218">
        <v>9179</v>
      </c>
      <c r="D17" s="218">
        <v>10510</v>
      </c>
      <c r="E17" s="218">
        <v>11697</v>
      </c>
      <c r="F17" s="218">
        <v>12523</v>
      </c>
      <c r="G17" s="218">
        <v>13681</v>
      </c>
      <c r="H17" s="218">
        <v>13603</v>
      </c>
      <c r="I17" s="218">
        <v>13171</v>
      </c>
      <c r="J17" s="218">
        <v>13134</v>
      </c>
      <c r="K17" s="218">
        <v>12108</v>
      </c>
      <c r="L17" s="218">
        <v>13694</v>
      </c>
      <c r="M17" s="218">
        <v>15584</v>
      </c>
      <c r="N17" s="305">
        <v>15644</v>
      </c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</row>
    <row r="18" spans="1:25" s="86" customFormat="1" ht="22.5" customHeight="1">
      <c r="A18" s="91" t="s">
        <v>31</v>
      </c>
      <c r="B18" s="225">
        <v>49.6</v>
      </c>
      <c r="C18" s="225">
        <v>49.8</v>
      </c>
      <c r="D18" s="225">
        <v>50.4</v>
      </c>
      <c r="E18" s="225">
        <v>52.1</v>
      </c>
      <c r="F18" s="225">
        <v>50.7</v>
      </c>
      <c r="G18" s="225">
        <v>49.9</v>
      </c>
      <c r="H18" s="225">
        <v>48.2</v>
      </c>
      <c r="I18" s="225">
        <v>44.5</v>
      </c>
      <c r="J18" s="225">
        <v>41.1</v>
      </c>
      <c r="K18" s="225">
        <v>37.6</v>
      </c>
      <c r="L18" s="225">
        <v>37.7</v>
      </c>
      <c r="M18" s="225">
        <v>38</v>
      </c>
      <c r="N18" s="307">
        <v>34.8</v>
      </c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</row>
    <row r="19" spans="1:25" s="86" customFormat="1" ht="22.5" customHeight="1">
      <c r="A19" s="217" t="s">
        <v>32</v>
      </c>
      <c r="B19" s="225">
        <v>12</v>
      </c>
      <c r="C19" s="225">
        <v>12.1</v>
      </c>
      <c r="D19" s="225">
        <v>11.9</v>
      </c>
      <c r="E19" s="225">
        <v>12.5</v>
      </c>
      <c r="F19" s="225">
        <v>12</v>
      </c>
      <c r="G19" s="225">
        <v>11.6</v>
      </c>
      <c r="H19" s="225">
        <v>10.8</v>
      </c>
      <c r="I19" s="225">
        <v>9.6</v>
      </c>
      <c r="J19" s="225">
        <v>8.6</v>
      </c>
      <c r="K19" s="225">
        <f>K17*100/162178</f>
        <v>7.46587083328195</v>
      </c>
      <c r="L19" s="225">
        <v>7.5</v>
      </c>
      <c r="M19" s="225">
        <v>7.5</v>
      </c>
      <c r="N19" s="307">
        <v>6.7</v>
      </c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</row>
    <row r="20" spans="1:25" s="86" customFormat="1" ht="22.5" customHeight="1">
      <c r="A20" s="92" t="s">
        <v>71</v>
      </c>
      <c r="B20" s="224">
        <v>7.014467338886448</v>
      </c>
      <c r="C20" s="224">
        <v>6</v>
      </c>
      <c r="D20" s="224">
        <v>6.9</v>
      </c>
      <c r="E20" s="224">
        <v>6</v>
      </c>
      <c r="F20" s="224">
        <v>6</v>
      </c>
      <c r="G20" s="224">
        <v>4.4</v>
      </c>
      <c r="H20" s="223">
        <v>6</v>
      </c>
      <c r="I20" s="223">
        <v>6</v>
      </c>
      <c r="J20" s="223">
        <v>6.8</v>
      </c>
      <c r="K20" s="223">
        <v>12.3</v>
      </c>
      <c r="L20" s="224">
        <v>4.6</v>
      </c>
      <c r="M20" s="224">
        <v>8</v>
      </c>
      <c r="N20" s="309">
        <v>6</v>
      </c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</row>
    <row r="21" spans="1:25" s="86" customFormat="1" ht="22.5" customHeight="1">
      <c r="A21" s="92" t="s">
        <v>33</v>
      </c>
      <c r="B21" s="218">
        <v>930</v>
      </c>
      <c r="C21" s="218">
        <v>1245</v>
      </c>
      <c r="D21" s="218">
        <v>1445</v>
      </c>
      <c r="E21" s="218">
        <v>1755</v>
      </c>
      <c r="F21" s="218">
        <v>1702</v>
      </c>
      <c r="G21" s="218">
        <v>1758</v>
      </c>
      <c r="H21" s="218">
        <v>1468</v>
      </c>
      <c r="I21" s="218">
        <v>1418</v>
      </c>
      <c r="J21" s="218">
        <v>2508</v>
      </c>
      <c r="K21" s="218">
        <v>2376</v>
      </c>
      <c r="L21" s="218">
        <v>2245</v>
      </c>
      <c r="M21" s="218">
        <v>4301</v>
      </c>
      <c r="N21" s="305">
        <v>1990</v>
      </c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</row>
    <row r="22" spans="1:25" s="86" customFormat="1" ht="22.5" customHeight="1">
      <c r="A22" s="216" t="s">
        <v>34</v>
      </c>
      <c r="B22" s="226">
        <v>915</v>
      </c>
      <c r="C22" s="226">
        <v>1200</v>
      </c>
      <c r="D22" s="226">
        <v>1355</v>
      </c>
      <c r="E22" s="226">
        <v>1635</v>
      </c>
      <c r="F22" s="226">
        <v>1557</v>
      </c>
      <c r="G22" s="226">
        <v>1444</v>
      </c>
      <c r="H22" s="226">
        <v>1445</v>
      </c>
      <c r="I22" s="226">
        <v>1342</v>
      </c>
      <c r="J22" s="226">
        <v>1888</v>
      </c>
      <c r="K22" s="226">
        <v>1609</v>
      </c>
      <c r="L22" s="226">
        <v>2031</v>
      </c>
      <c r="M22" s="226">
        <v>2577</v>
      </c>
      <c r="N22" s="308">
        <v>914</v>
      </c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</row>
    <row r="23" spans="1:25" s="86" customFormat="1" ht="7.5" customHeight="1" thickBot="1">
      <c r="A23" s="95"/>
      <c r="B23" s="227"/>
      <c r="C23" s="227"/>
      <c r="D23" s="227"/>
      <c r="E23" s="228"/>
      <c r="F23" s="228"/>
      <c r="G23" s="228"/>
      <c r="H23" s="228"/>
      <c r="I23" s="228"/>
      <c r="J23" s="228"/>
      <c r="K23" s="228"/>
      <c r="L23" s="228"/>
      <c r="M23" s="228"/>
      <c r="N23" s="229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</row>
    <row r="24" spans="1:25" s="86" customFormat="1" ht="19.5" customHeight="1">
      <c r="A24" s="213" t="s">
        <v>74</v>
      </c>
      <c r="B24" s="96"/>
      <c r="C24" s="96"/>
      <c r="D24" s="96"/>
      <c r="E24" s="97"/>
      <c r="F24" s="97"/>
      <c r="G24" s="97"/>
      <c r="H24" s="97"/>
      <c r="I24" s="97"/>
      <c r="J24" s="97"/>
      <c r="K24" s="97"/>
      <c r="L24" s="97"/>
      <c r="M24" s="97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</row>
    <row r="25" spans="1:13" s="86" customFormat="1" ht="20.25" customHeight="1">
      <c r="A25" s="2" t="s">
        <v>68</v>
      </c>
      <c r="B25" s="96"/>
      <c r="C25" s="96"/>
      <c r="D25" s="96"/>
      <c r="E25" s="97"/>
      <c r="F25" s="97"/>
      <c r="G25" s="97"/>
      <c r="H25" s="97"/>
      <c r="I25" s="97"/>
      <c r="J25" s="97"/>
      <c r="K25" s="97"/>
      <c r="L25" s="97"/>
      <c r="M25" s="97"/>
    </row>
    <row r="26" ht="20.25" customHeight="1">
      <c r="A26" s="2" t="s">
        <v>69</v>
      </c>
    </row>
    <row r="27" ht="15" customHeight="1">
      <c r="A27" s="2"/>
    </row>
  </sheetData>
  <sheetProtection/>
  <printOptions horizontalCentered="1" verticalCentered="1"/>
  <pageMargins left="0.11811023622047245" right="0" top="0.35433070866141736" bottom="0.3937007874015748" header="0.5511811023622047" footer="0.6299212598425197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M30"/>
  <sheetViews>
    <sheetView zoomScalePageLayoutView="0" workbookViewId="0" topLeftCell="A4">
      <selection activeCell="B8" sqref="B8"/>
    </sheetView>
  </sheetViews>
  <sheetFormatPr defaultColWidth="8.00390625" defaultRowHeight="12.75"/>
  <cols>
    <col min="1" max="1" width="3.00390625" style="339" customWidth="1"/>
    <col min="2" max="2" width="44.28125" style="339" customWidth="1"/>
    <col min="3" max="7" width="12.28125" style="339" customWidth="1"/>
    <col min="8" max="8" width="12.28125" style="340" customWidth="1"/>
    <col min="9" max="9" width="12.28125" style="339" customWidth="1"/>
    <col min="10" max="16384" width="8.00390625" style="339" customWidth="1"/>
  </cols>
  <sheetData>
    <row r="1" spans="1:4" ht="18">
      <c r="A1" s="336" t="s">
        <v>232</v>
      </c>
      <c r="B1" s="337"/>
      <c r="C1" s="338"/>
      <c r="D1" s="338"/>
    </row>
    <row r="2" spans="1:4" ht="3" customHeight="1">
      <c r="A2" s="337"/>
      <c r="B2" s="337"/>
      <c r="C2" s="338"/>
      <c r="D2" s="338"/>
    </row>
    <row r="3" spans="1:9" ht="12.75" customHeight="1">
      <c r="A3" s="337"/>
      <c r="B3" s="337"/>
      <c r="C3" s="341"/>
      <c r="D3" s="341"/>
      <c r="G3" s="342"/>
      <c r="I3" s="518" t="s">
        <v>88</v>
      </c>
    </row>
    <row r="4" spans="1:4" ht="8.25" customHeight="1" thickBot="1">
      <c r="A4" s="341"/>
      <c r="B4" s="341"/>
      <c r="C4" s="341"/>
      <c r="D4" s="341"/>
    </row>
    <row r="5" spans="1:9" ht="15.75" customHeight="1">
      <c r="A5" s="647" t="s">
        <v>89</v>
      </c>
      <c r="B5" s="648"/>
      <c r="C5" s="651" t="s">
        <v>226</v>
      </c>
      <c r="D5" s="653" t="s">
        <v>227</v>
      </c>
      <c r="E5" s="652" t="s">
        <v>178</v>
      </c>
      <c r="F5" s="652"/>
      <c r="G5" s="652"/>
      <c r="H5" s="652"/>
      <c r="I5" s="509" t="s">
        <v>228</v>
      </c>
    </row>
    <row r="6" spans="1:9" ht="15.75" customHeight="1" thickBot="1">
      <c r="A6" s="649"/>
      <c r="B6" s="650"/>
      <c r="C6" s="641"/>
      <c r="D6" s="644"/>
      <c r="E6" s="607" t="s">
        <v>78</v>
      </c>
      <c r="F6" s="551" t="s">
        <v>79</v>
      </c>
      <c r="G6" s="551" t="s">
        <v>80</v>
      </c>
      <c r="H6" s="552" t="s">
        <v>81</v>
      </c>
      <c r="I6" s="608" t="s">
        <v>78</v>
      </c>
    </row>
    <row r="7" spans="1:9" s="340" customFormat="1" ht="24.75" customHeight="1">
      <c r="A7" s="472" t="s">
        <v>90</v>
      </c>
      <c r="B7" s="484"/>
      <c r="C7" s="492">
        <v>37840</v>
      </c>
      <c r="D7" s="493">
        <f>SUM(E7:H7)</f>
        <v>34932</v>
      </c>
      <c r="E7" s="482">
        <v>7693</v>
      </c>
      <c r="F7" s="483">
        <f>8990+32</f>
        <v>9022</v>
      </c>
      <c r="G7" s="483">
        <v>8795</v>
      </c>
      <c r="H7" s="503">
        <f>9277+145</f>
        <v>9422</v>
      </c>
      <c r="I7" s="510">
        <f>7688+141</f>
        <v>7829</v>
      </c>
    </row>
    <row r="8" spans="1:9" s="348" customFormat="1" ht="24.75" customHeight="1">
      <c r="A8" s="473" t="s">
        <v>91</v>
      </c>
      <c r="B8" s="485"/>
      <c r="C8" s="494">
        <v>6385</v>
      </c>
      <c r="D8" s="495">
        <f>SUM(E8:H8)</f>
        <v>6607</v>
      </c>
      <c r="E8" s="382">
        <v>1390</v>
      </c>
      <c r="F8" s="347">
        <v>1476</v>
      </c>
      <c r="G8" s="347">
        <v>1816</v>
      </c>
      <c r="H8" s="504">
        <f>1859+66</f>
        <v>1925</v>
      </c>
      <c r="I8" s="511">
        <f>1582+67</f>
        <v>1649</v>
      </c>
    </row>
    <row r="9" spans="1:9" s="348" customFormat="1" ht="10.5" customHeight="1">
      <c r="A9" s="474" t="s">
        <v>92</v>
      </c>
      <c r="B9" s="485"/>
      <c r="C9" s="496"/>
      <c r="D9" s="497"/>
      <c r="E9" s="366"/>
      <c r="F9" s="350"/>
      <c r="G9" s="350"/>
      <c r="H9" s="505"/>
      <c r="I9" s="512"/>
    </row>
    <row r="10" spans="1:9" ht="22.5" customHeight="1">
      <c r="A10" s="475" t="s">
        <v>18</v>
      </c>
      <c r="B10" s="485" t="s">
        <v>212</v>
      </c>
      <c r="C10" s="498">
        <v>6031</v>
      </c>
      <c r="D10" s="499">
        <f>SUM(E10:H10)</f>
        <v>6194</v>
      </c>
      <c r="E10" s="386">
        <v>1295</v>
      </c>
      <c r="F10" s="352">
        <v>1388</v>
      </c>
      <c r="G10" s="352">
        <v>1728</v>
      </c>
      <c r="H10" s="506">
        <f>1717+66</f>
        <v>1783</v>
      </c>
      <c r="I10" s="513">
        <f>1472+67</f>
        <v>1539</v>
      </c>
    </row>
    <row r="11" spans="1:9" s="348" customFormat="1" ht="24.75" customHeight="1">
      <c r="A11" s="476" t="s">
        <v>93</v>
      </c>
      <c r="B11" s="485"/>
      <c r="C11" s="496">
        <v>108</v>
      </c>
      <c r="D11" s="497">
        <f>SUM(E11:H11)</f>
        <v>132</v>
      </c>
      <c r="E11" s="382">
        <v>30</v>
      </c>
      <c r="F11" s="347">
        <v>30</v>
      </c>
      <c r="G11" s="347">
        <v>34</v>
      </c>
      <c r="H11" s="504">
        <f>35+3</f>
        <v>38</v>
      </c>
      <c r="I11" s="511">
        <f>25+2</f>
        <v>27</v>
      </c>
    </row>
    <row r="12" spans="1:9" s="354" customFormat="1" ht="24.75" customHeight="1">
      <c r="A12" s="473" t="s">
        <v>94</v>
      </c>
      <c r="B12" s="485"/>
      <c r="C12" s="496">
        <v>230</v>
      </c>
      <c r="D12" s="497">
        <f>SUM(E12:H12)</f>
        <v>265</v>
      </c>
      <c r="E12" s="382">
        <v>63</v>
      </c>
      <c r="F12" s="347">
        <f>71+1</f>
        <v>72</v>
      </c>
      <c r="G12" s="347">
        <v>77</v>
      </c>
      <c r="H12" s="504">
        <f>51+2</f>
        <v>53</v>
      </c>
      <c r="I12" s="511">
        <f>32+1</f>
        <v>33</v>
      </c>
    </row>
    <row r="13" spans="1:9" s="348" customFormat="1" ht="27.75" customHeight="1">
      <c r="A13" s="645" t="s">
        <v>95</v>
      </c>
      <c r="B13" s="646"/>
      <c r="C13" s="496">
        <v>3819</v>
      </c>
      <c r="D13" s="497">
        <f>SUM(E13:H13)</f>
        <v>3279</v>
      </c>
      <c r="E13" s="382">
        <v>730</v>
      </c>
      <c r="F13" s="347">
        <f>903+17</f>
        <v>920</v>
      </c>
      <c r="G13" s="347">
        <v>849</v>
      </c>
      <c r="H13" s="504">
        <f>753+27</f>
        <v>780</v>
      </c>
      <c r="I13" s="511">
        <f>708+17</f>
        <v>725</v>
      </c>
    </row>
    <row r="14" spans="1:13" s="348" customFormat="1" ht="10.5" customHeight="1">
      <c r="A14" s="474" t="s">
        <v>92</v>
      </c>
      <c r="B14" s="485"/>
      <c r="C14" s="496"/>
      <c r="D14" s="497"/>
      <c r="E14" s="366"/>
      <c r="F14" s="350"/>
      <c r="G14" s="350"/>
      <c r="H14" s="505"/>
      <c r="I14" s="512"/>
      <c r="M14" s="414"/>
    </row>
    <row r="15" spans="1:9" s="348" customFormat="1" ht="22.5" customHeight="1">
      <c r="A15" s="477" t="s">
        <v>18</v>
      </c>
      <c r="B15" s="485" t="s">
        <v>213</v>
      </c>
      <c r="C15" s="498">
        <v>1963</v>
      </c>
      <c r="D15" s="499">
        <f>SUM(E15:H15)</f>
        <v>1618</v>
      </c>
      <c r="E15" s="386">
        <v>414</v>
      </c>
      <c r="F15" s="352">
        <v>472</v>
      </c>
      <c r="G15" s="352">
        <v>363</v>
      </c>
      <c r="H15" s="507">
        <v>369</v>
      </c>
      <c r="I15" s="514">
        <v>398</v>
      </c>
    </row>
    <row r="16" spans="1:9" s="348" customFormat="1" ht="22.5" customHeight="1">
      <c r="A16" s="474"/>
      <c r="B16" s="486" t="s">
        <v>214</v>
      </c>
      <c r="C16" s="498">
        <v>1375</v>
      </c>
      <c r="D16" s="499">
        <f>SUM(E16:H16)</f>
        <v>1190</v>
      </c>
      <c r="E16" s="386">
        <v>215</v>
      </c>
      <c r="F16" s="352">
        <v>313</v>
      </c>
      <c r="G16" s="352">
        <v>362</v>
      </c>
      <c r="H16" s="507">
        <f>292+8</f>
        <v>300</v>
      </c>
      <c r="I16" s="514">
        <f>222+1</f>
        <v>223</v>
      </c>
    </row>
    <row r="17" spans="1:9" s="348" customFormat="1" ht="24.75" customHeight="1">
      <c r="A17" s="473" t="s">
        <v>96</v>
      </c>
      <c r="B17" s="485"/>
      <c r="C17" s="496">
        <v>91</v>
      </c>
      <c r="D17" s="497">
        <f>SUM(E17:H17)</f>
        <v>118</v>
      </c>
      <c r="E17" s="382">
        <v>29</v>
      </c>
      <c r="F17" s="347">
        <v>31</v>
      </c>
      <c r="G17" s="347">
        <v>24</v>
      </c>
      <c r="H17" s="504">
        <f>27+7</f>
        <v>34</v>
      </c>
      <c r="I17" s="511">
        <f>18+7</f>
        <v>25</v>
      </c>
    </row>
    <row r="18" spans="1:9" s="348" customFormat="1" ht="24.75" customHeight="1">
      <c r="A18" s="473" t="s">
        <v>97</v>
      </c>
      <c r="B18" s="487"/>
      <c r="C18" s="496">
        <v>27149</v>
      </c>
      <c r="D18" s="497">
        <f>SUM(E18:H18)</f>
        <v>24502</v>
      </c>
      <c r="E18" s="382">
        <v>5446</v>
      </c>
      <c r="F18" s="347">
        <f>6467+14</f>
        <v>6481</v>
      </c>
      <c r="G18" s="347">
        <v>5990</v>
      </c>
      <c r="H18" s="504">
        <f>6548+37</f>
        <v>6585</v>
      </c>
      <c r="I18" s="511">
        <f>5318+45</f>
        <v>5363</v>
      </c>
    </row>
    <row r="19" spans="1:9" s="348" customFormat="1" ht="10.5" customHeight="1">
      <c r="A19" s="474" t="s">
        <v>92</v>
      </c>
      <c r="B19" s="487"/>
      <c r="C19" s="496"/>
      <c r="D19" s="497"/>
      <c r="E19" s="366"/>
      <c r="F19" s="350"/>
      <c r="G19" s="350"/>
      <c r="H19" s="505"/>
      <c r="I19" s="512"/>
    </row>
    <row r="20" spans="1:9" s="348" customFormat="1" ht="22.5" customHeight="1">
      <c r="A20" s="477" t="s">
        <v>18</v>
      </c>
      <c r="B20" s="485" t="s">
        <v>215</v>
      </c>
      <c r="C20" s="498">
        <v>24457</v>
      </c>
      <c r="D20" s="499">
        <f aca="true" t="shared" si="0" ref="D20:D25">SUM(E20:H20)</f>
        <v>21882</v>
      </c>
      <c r="E20" s="386">
        <v>4900</v>
      </c>
      <c r="F20" s="352">
        <f>5668+8</f>
        <v>5676</v>
      </c>
      <c r="G20" s="352">
        <v>5327</v>
      </c>
      <c r="H20" s="507">
        <f>5961+18</f>
        <v>5979</v>
      </c>
      <c r="I20" s="514">
        <f>4843+27</f>
        <v>4870</v>
      </c>
    </row>
    <row r="21" spans="1:9" ht="22.5" customHeight="1">
      <c r="A21" s="474"/>
      <c r="B21" s="485" t="s">
        <v>216</v>
      </c>
      <c r="C21" s="498">
        <v>178</v>
      </c>
      <c r="D21" s="499">
        <f t="shared" si="0"/>
        <v>151</v>
      </c>
      <c r="E21" s="386">
        <v>38</v>
      </c>
      <c r="F21" s="352">
        <v>36</v>
      </c>
      <c r="G21" s="352">
        <v>39</v>
      </c>
      <c r="H21" s="507">
        <v>38</v>
      </c>
      <c r="I21" s="514">
        <v>57</v>
      </c>
    </row>
    <row r="22" spans="1:9" ht="22.5" customHeight="1">
      <c r="A22" s="475"/>
      <c r="B22" s="357" t="s">
        <v>217</v>
      </c>
      <c r="C22" s="498">
        <v>550</v>
      </c>
      <c r="D22" s="499">
        <f t="shared" si="0"/>
        <v>569</v>
      </c>
      <c r="E22" s="386">
        <v>145</v>
      </c>
      <c r="F22" s="352">
        <v>152</v>
      </c>
      <c r="G22" s="352">
        <v>148</v>
      </c>
      <c r="H22" s="507">
        <v>124</v>
      </c>
      <c r="I22" s="514">
        <v>77</v>
      </c>
    </row>
    <row r="23" spans="1:9" s="348" customFormat="1" ht="22.5" customHeight="1">
      <c r="A23" s="474"/>
      <c r="B23" s="485" t="s">
        <v>218</v>
      </c>
      <c r="C23" s="498">
        <v>147</v>
      </c>
      <c r="D23" s="499">
        <f t="shared" si="0"/>
        <v>173</v>
      </c>
      <c r="E23" s="386">
        <v>33</v>
      </c>
      <c r="F23" s="352">
        <v>44</v>
      </c>
      <c r="G23" s="352">
        <v>53</v>
      </c>
      <c r="H23" s="507">
        <v>43</v>
      </c>
      <c r="I23" s="514">
        <f>25+1</f>
        <v>26</v>
      </c>
    </row>
    <row r="24" spans="1:9" s="348" customFormat="1" ht="22.5" customHeight="1">
      <c r="A24" s="474"/>
      <c r="B24" s="485" t="s">
        <v>219</v>
      </c>
      <c r="C24" s="498">
        <v>935</v>
      </c>
      <c r="D24" s="499">
        <f t="shared" si="0"/>
        <v>927</v>
      </c>
      <c r="E24" s="386">
        <v>173</v>
      </c>
      <c r="F24" s="352">
        <v>354</v>
      </c>
      <c r="G24" s="352">
        <v>194</v>
      </c>
      <c r="H24" s="507">
        <f>205+1</f>
        <v>206</v>
      </c>
      <c r="I24" s="514">
        <f>119+1</f>
        <v>120</v>
      </c>
    </row>
    <row r="25" spans="1:9" s="356" customFormat="1" ht="22.5" customHeight="1">
      <c r="A25" s="478" t="s">
        <v>98</v>
      </c>
      <c r="B25" s="488"/>
      <c r="C25" s="500">
        <v>58</v>
      </c>
      <c r="D25" s="479">
        <f t="shared" si="0"/>
        <v>29</v>
      </c>
      <c r="E25" s="490">
        <v>5</v>
      </c>
      <c r="F25" s="355">
        <f>F7-F8-F11-F12-F13-F17-F18</f>
        <v>12</v>
      </c>
      <c r="G25" s="355">
        <f>G7-G8-G11-G12-G13-G17-G18</f>
        <v>5</v>
      </c>
      <c r="H25" s="508">
        <f>H7-H8-H11-H12-H13-H17-H18</f>
        <v>7</v>
      </c>
      <c r="I25" s="515">
        <f>I7-I8-I11-I12-I13-I17-I18</f>
        <v>7</v>
      </c>
    </row>
    <row r="26" spans="1:9" ht="3" customHeight="1" thickBot="1">
      <c r="A26" s="480"/>
      <c r="B26" s="489"/>
      <c r="C26" s="501"/>
      <c r="D26" s="502"/>
      <c r="E26" s="491"/>
      <c r="F26" s="481"/>
      <c r="G26" s="481"/>
      <c r="H26" s="516"/>
      <c r="I26" s="517"/>
    </row>
    <row r="27" spans="1:4" ht="3" customHeight="1">
      <c r="A27" s="357"/>
      <c r="B27" s="357"/>
      <c r="C27" s="358"/>
      <c r="D27" s="358"/>
    </row>
    <row r="28" spans="1:8" s="361" customFormat="1" ht="12.75">
      <c r="A28" s="359" t="s">
        <v>179</v>
      </c>
      <c r="B28" s="360"/>
      <c r="C28" s="360"/>
      <c r="D28" s="360"/>
      <c r="H28" s="362"/>
    </row>
    <row r="29" spans="1:8" s="361" customFormat="1" ht="12.75">
      <c r="A29" s="213" t="s">
        <v>74</v>
      </c>
      <c r="H29" s="362"/>
    </row>
    <row r="30" s="361" customFormat="1" ht="12.75">
      <c r="H30" s="362"/>
    </row>
  </sheetData>
  <sheetProtection/>
  <mergeCells count="5">
    <mergeCell ref="A13:B13"/>
    <mergeCell ref="A5:B6"/>
    <mergeCell ref="C5:C6"/>
    <mergeCell ref="E5:H5"/>
    <mergeCell ref="D5:D6"/>
  </mergeCells>
  <printOptions horizontalCentered="1"/>
  <pageMargins left="0.25" right="0.25" top="0.5" bottom="0.19" header="0.5" footer="0.31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9"/>
  <sheetViews>
    <sheetView zoomScalePageLayoutView="0" workbookViewId="0" topLeftCell="A1">
      <selection activeCell="A9" sqref="A9"/>
    </sheetView>
  </sheetViews>
  <sheetFormatPr defaultColWidth="8.00390625" defaultRowHeight="12.75"/>
  <cols>
    <col min="1" max="1" width="49.7109375" style="339" customWidth="1"/>
    <col min="2" max="6" width="11.8515625" style="339" customWidth="1"/>
    <col min="7" max="7" width="11.8515625" style="340" customWidth="1"/>
    <col min="8" max="8" width="11.8515625" style="339" customWidth="1"/>
    <col min="9" max="16384" width="8.00390625" style="339" customWidth="1"/>
  </cols>
  <sheetData>
    <row r="1" spans="1:7" s="348" customFormat="1" ht="17.25" customHeight="1">
      <c r="A1" s="363" t="s">
        <v>233</v>
      </c>
      <c r="B1" s="338"/>
      <c r="C1" s="338"/>
      <c r="G1" s="356"/>
    </row>
    <row r="2" spans="1:7" s="348" customFormat="1" ht="6" customHeight="1">
      <c r="A2" s="338"/>
      <c r="B2" s="338"/>
      <c r="C2" s="338"/>
      <c r="G2" s="356"/>
    </row>
    <row r="3" spans="1:7" s="348" customFormat="1" ht="15.75" customHeight="1">
      <c r="A3" s="338"/>
      <c r="B3" s="338"/>
      <c r="C3" s="338"/>
      <c r="G3" s="548" t="s">
        <v>99</v>
      </c>
    </row>
    <row r="4" spans="1:7" s="348" customFormat="1" ht="5.25" customHeight="1" thickBot="1">
      <c r="A4" s="338"/>
      <c r="B4" s="338"/>
      <c r="C4" s="338"/>
      <c r="G4" s="356"/>
    </row>
    <row r="5" spans="1:8" s="348" customFormat="1" ht="14.25" customHeight="1">
      <c r="A5" s="647" t="s">
        <v>89</v>
      </c>
      <c r="B5" s="651" t="s">
        <v>226</v>
      </c>
      <c r="C5" s="653" t="s">
        <v>227</v>
      </c>
      <c r="D5" s="652" t="s">
        <v>178</v>
      </c>
      <c r="E5" s="652"/>
      <c r="F5" s="652"/>
      <c r="G5" s="652"/>
      <c r="H5" s="509" t="s">
        <v>228</v>
      </c>
    </row>
    <row r="6" spans="1:8" s="354" customFormat="1" ht="17.25" customHeight="1">
      <c r="A6" s="654"/>
      <c r="B6" s="655"/>
      <c r="C6" s="656"/>
      <c r="D6" s="609" t="s">
        <v>78</v>
      </c>
      <c r="E6" s="549" t="s">
        <v>100</v>
      </c>
      <c r="F6" s="549" t="s">
        <v>101</v>
      </c>
      <c r="G6" s="550" t="s">
        <v>102</v>
      </c>
      <c r="H6" s="610" t="s">
        <v>78</v>
      </c>
    </row>
    <row r="7" spans="1:8" s="340" customFormat="1" ht="22.5" customHeight="1">
      <c r="A7" s="472" t="s">
        <v>103</v>
      </c>
      <c r="B7" s="525">
        <v>21036</v>
      </c>
      <c r="C7" s="526">
        <f>SUM(D7:G7)</f>
        <v>19896</v>
      </c>
      <c r="D7" s="345">
        <v>5834</v>
      </c>
      <c r="E7" s="346">
        <f>4656+84</f>
        <v>4740</v>
      </c>
      <c r="F7" s="346">
        <v>4702</v>
      </c>
      <c r="G7" s="534">
        <f>4337+283</f>
        <v>4620</v>
      </c>
      <c r="H7" s="541">
        <f>3505+279</f>
        <v>3784</v>
      </c>
    </row>
    <row r="8" spans="1:8" ht="22.5" customHeight="1">
      <c r="A8" s="478" t="s">
        <v>104</v>
      </c>
      <c r="B8" s="527">
        <v>3765</v>
      </c>
      <c r="C8" s="528">
        <f>SUM(D8:G8)</f>
        <v>5902</v>
      </c>
      <c r="D8" s="364">
        <v>1951</v>
      </c>
      <c r="E8" s="365">
        <v>1173</v>
      </c>
      <c r="F8" s="365">
        <v>1641</v>
      </c>
      <c r="G8" s="535">
        <f>983+154</f>
        <v>1137</v>
      </c>
      <c r="H8" s="542">
        <f>848+148</f>
        <v>996</v>
      </c>
    </row>
    <row r="9" spans="1:8" s="348" customFormat="1" ht="22.5" customHeight="1">
      <c r="A9" s="478" t="s">
        <v>105</v>
      </c>
      <c r="B9" s="527">
        <v>1792</v>
      </c>
      <c r="C9" s="528">
        <f>SUM(D9:G9)</f>
        <v>2354</v>
      </c>
      <c r="D9" s="364">
        <v>1019</v>
      </c>
      <c r="E9" s="365">
        <f>512+5</f>
        <v>517</v>
      </c>
      <c r="F9" s="365">
        <v>334</v>
      </c>
      <c r="G9" s="535">
        <f>476+8</f>
        <v>484</v>
      </c>
      <c r="H9" s="542">
        <f>383+3</f>
        <v>386</v>
      </c>
    </row>
    <row r="10" spans="1:8" s="348" customFormat="1" ht="12" customHeight="1">
      <c r="A10" s="475" t="s">
        <v>106</v>
      </c>
      <c r="B10" s="527"/>
      <c r="C10" s="528"/>
      <c r="D10" s="366"/>
      <c r="E10" s="350"/>
      <c r="F10" s="350"/>
      <c r="G10" s="536"/>
      <c r="H10" s="543"/>
    </row>
    <row r="11" spans="1:8" s="348" customFormat="1" ht="18" customHeight="1">
      <c r="A11" s="475" t="s">
        <v>220</v>
      </c>
      <c r="B11" s="529">
        <v>1149</v>
      </c>
      <c r="C11" s="530">
        <f aca="true" t="shared" si="0" ref="C11:C16">SUM(D11:G11)</f>
        <v>1635</v>
      </c>
      <c r="D11" s="367">
        <v>786</v>
      </c>
      <c r="E11" s="368">
        <v>305</v>
      </c>
      <c r="F11" s="368">
        <v>196</v>
      </c>
      <c r="G11" s="537">
        <v>348</v>
      </c>
      <c r="H11" s="544">
        <v>294</v>
      </c>
    </row>
    <row r="12" spans="1:8" s="348" customFormat="1" ht="18" customHeight="1">
      <c r="A12" s="475" t="s">
        <v>107</v>
      </c>
      <c r="B12" s="529">
        <v>30</v>
      </c>
      <c r="C12" s="530">
        <f t="shared" si="0"/>
        <v>54</v>
      </c>
      <c r="D12" s="367">
        <v>17</v>
      </c>
      <c r="E12" s="368">
        <v>16</v>
      </c>
      <c r="F12" s="368">
        <v>7</v>
      </c>
      <c r="G12" s="537">
        <v>14</v>
      </c>
      <c r="H12" s="544">
        <v>18</v>
      </c>
    </row>
    <row r="13" spans="1:8" ht="18" customHeight="1">
      <c r="A13" s="475" t="s">
        <v>108</v>
      </c>
      <c r="B13" s="529">
        <v>457</v>
      </c>
      <c r="C13" s="530">
        <f t="shared" si="0"/>
        <v>471</v>
      </c>
      <c r="D13" s="367">
        <v>149</v>
      </c>
      <c r="E13" s="368">
        <v>166</v>
      </c>
      <c r="F13" s="368">
        <v>95</v>
      </c>
      <c r="G13" s="537">
        <v>61</v>
      </c>
      <c r="H13" s="544">
        <v>47</v>
      </c>
    </row>
    <row r="14" spans="1:8" ht="25.5" customHeight="1">
      <c r="A14" s="522" t="s">
        <v>109</v>
      </c>
      <c r="B14" s="531">
        <v>5</v>
      </c>
      <c r="C14" s="532">
        <f t="shared" si="0"/>
        <v>5</v>
      </c>
      <c r="D14" s="524">
        <v>2</v>
      </c>
      <c r="E14" s="371">
        <v>1</v>
      </c>
      <c r="F14" s="371">
        <v>1</v>
      </c>
      <c r="G14" s="538">
        <v>1</v>
      </c>
      <c r="H14" s="545">
        <v>1</v>
      </c>
    </row>
    <row r="15" spans="1:8" ht="22.5" customHeight="1">
      <c r="A15" s="478" t="s">
        <v>110</v>
      </c>
      <c r="B15" s="527">
        <v>939</v>
      </c>
      <c r="C15" s="528">
        <f t="shared" si="0"/>
        <v>833</v>
      </c>
      <c r="D15" s="364">
        <v>196</v>
      </c>
      <c r="E15" s="365">
        <f>185+20</f>
        <v>205</v>
      </c>
      <c r="F15" s="365">
        <v>216</v>
      </c>
      <c r="G15" s="535">
        <f>174+42</f>
        <v>216</v>
      </c>
      <c r="H15" s="542">
        <f>130+34</f>
        <v>164</v>
      </c>
    </row>
    <row r="16" spans="1:8" ht="27.75" customHeight="1">
      <c r="A16" s="522" t="s">
        <v>111</v>
      </c>
      <c r="B16" s="527">
        <v>9661</v>
      </c>
      <c r="C16" s="528">
        <f t="shared" si="0"/>
        <v>7947</v>
      </c>
      <c r="D16" s="364">
        <v>1877</v>
      </c>
      <c r="E16" s="365">
        <f>2106+30</f>
        <v>2136</v>
      </c>
      <c r="F16" s="365">
        <v>1883</v>
      </c>
      <c r="G16" s="535">
        <f>2000+51</f>
        <v>2051</v>
      </c>
      <c r="H16" s="542">
        <f>1709+45</f>
        <v>1754</v>
      </c>
    </row>
    <row r="17" spans="1:8" ht="12" customHeight="1">
      <c r="A17" s="475" t="s">
        <v>106</v>
      </c>
      <c r="B17" s="527"/>
      <c r="C17" s="528"/>
      <c r="D17" s="372"/>
      <c r="E17" s="373"/>
      <c r="F17" s="373"/>
      <c r="G17" s="539"/>
      <c r="H17" s="546"/>
    </row>
    <row r="18" spans="1:8" ht="18" customHeight="1">
      <c r="A18" s="474" t="s">
        <v>112</v>
      </c>
      <c r="B18" s="529">
        <v>256</v>
      </c>
      <c r="C18" s="530">
        <f>SUM(D18:G18)</f>
        <v>267</v>
      </c>
      <c r="D18" s="367">
        <v>70</v>
      </c>
      <c r="E18" s="368">
        <v>67</v>
      </c>
      <c r="F18" s="368">
        <v>71</v>
      </c>
      <c r="G18" s="537">
        <f>55+4</f>
        <v>59</v>
      </c>
      <c r="H18" s="544">
        <f>21+10</f>
        <v>31</v>
      </c>
    </row>
    <row r="19" spans="1:8" ht="18" customHeight="1">
      <c r="A19" s="475" t="s">
        <v>221</v>
      </c>
      <c r="B19" s="529">
        <v>6457</v>
      </c>
      <c r="C19" s="530">
        <f>SUM(D19:G19)</f>
        <v>4901</v>
      </c>
      <c r="D19" s="367">
        <v>1215</v>
      </c>
      <c r="E19" s="368">
        <f>1329+8</f>
        <v>1337</v>
      </c>
      <c r="F19" s="368">
        <v>1098</v>
      </c>
      <c r="G19" s="537">
        <f>1246+5</f>
        <v>1251</v>
      </c>
      <c r="H19" s="544">
        <f>986+5</f>
        <v>991</v>
      </c>
    </row>
    <row r="20" spans="1:8" ht="18" customHeight="1">
      <c r="A20" s="475" t="s">
        <v>222</v>
      </c>
      <c r="B20" s="529">
        <v>1629</v>
      </c>
      <c r="C20" s="530">
        <f>SUM(D20:G20)</f>
        <v>1438</v>
      </c>
      <c r="D20" s="367">
        <v>300</v>
      </c>
      <c r="E20" s="368">
        <f>426+3</f>
        <v>429</v>
      </c>
      <c r="F20" s="368">
        <v>371</v>
      </c>
      <c r="G20" s="537">
        <f>327+11</f>
        <v>338</v>
      </c>
      <c r="H20" s="544">
        <f>374+6</f>
        <v>380</v>
      </c>
    </row>
    <row r="21" spans="1:8" ht="22.5" customHeight="1">
      <c r="A21" s="473" t="s">
        <v>113</v>
      </c>
      <c r="B21" s="527">
        <v>2767</v>
      </c>
      <c r="C21" s="528">
        <f>SUM(D21:G21)</f>
        <v>1132</v>
      </c>
      <c r="D21" s="364">
        <v>340</v>
      </c>
      <c r="E21" s="365">
        <f>224+22</f>
        <v>246</v>
      </c>
      <c r="F21" s="365">
        <v>220</v>
      </c>
      <c r="G21" s="535">
        <f>314+12</f>
        <v>326</v>
      </c>
      <c r="H21" s="542">
        <f>129+29</f>
        <v>158</v>
      </c>
    </row>
    <row r="22" spans="1:8" ht="22.5" customHeight="1">
      <c r="A22" s="473" t="s">
        <v>114</v>
      </c>
      <c r="B22" s="527">
        <v>1700</v>
      </c>
      <c r="C22" s="528">
        <f>SUM(D22:G22)</f>
        <v>1542</v>
      </c>
      <c r="D22" s="364">
        <v>390</v>
      </c>
      <c r="E22" s="365">
        <f>397+7</f>
        <v>404</v>
      </c>
      <c r="F22" s="365">
        <v>379</v>
      </c>
      <c r="G22" s="535">
        <f>356+13</f>
        <v>369</v>
      </c>
      <c r="H22" s="542">
        <f>277+20</f>
        <v>297</v>
      </c>
    </row>
    <row r="23" spans="1:8" ht="12.75">
      <c r="A23" s="475" t="s">
        <v>106</v>
      </c>
      <c r="B23" s="527"/>
      <c r="C23" s="528"/>
      <c r="D23" s="372"/>
      <c r="E23" s="373"/>
      <c r="F23" s="373"/>
      <c r="G23" s="539"/>
      <c r="H23" s="546"/>
    </row>
    <row r="24" spans="1:8" ht="18" customHeight="1">
      <c r="A24" s="475" t="s">
        <v>115</v>
      </c>
      <c r="B24" s="529">
        <v>244</v>
      </c>
      <c r="C24" s="530">
        <f>SUM(D24:G24)</f>
        <v>179</v>
      </c>
      <c r="D24" s="367">
        <v>59</v>
      </c>
      <c r="E24" s="368">
        <v>57</v>
      </c>
      <c r="F24" s="368">
        <v>28</v>
      </c>
      <c r="G24" s="537">
        <f>35</f>
        <v>35</v>
      </c>
      <c r="H24" s="544">
        <v>31</v>
      </c>
    </row>
    <row r="25" spans="1:8" ht="18" customHeight="1">
      <c r="A25" s="474" t="s">
        <v>116</v>
      </c>
      <c r="B25" s="529">
        <v>259</v>
      </c>
      <c r="C25" s="530">
        <f>SUM(D25:G25)</f>
        <v>198</v>
      </c>
      <c r="D25" s="367">
        <v>48</v>
      </c>
      <c r="E25" s="368">
        <f>51+1</f>
        <v>52</v>
      </c>
      <c r="F25" s="368">
        <v>58</v>
      </c>
      <c r="G25" s="537">
        <f>37+3</f>
        <v>40</v>
      </c>
      <c r="H25" s="544">
        <v>29</v>
      </c>
    </row>
    <row r="26" spans="1:8" ht="22.5" customHeight="1" thickBot="1">
      <c r="A26" s="523" t="s">
        <v>98</v>
      </c>
      <c r="B26" s="533">
        <v>407</v>
      </c>
      <c r="C26" s="521">
        <f>SUM(D26:G26)</f>
        <v>181</v>
      </c>
      <c r="D26" s="520">
        <v>59</v>
      </c>
      <c r="E26" s="520">
        <f>E7-E8-E9-E14-E15-E16-E21-E22</f>
        <v>58</v>
      </c>
      <c r="F26" s="520">
        <f>F7-F8-F9-F14-F15-F16-F21-F22</f>
        <v>28</v>
      </c>
      <c r="G26" s="540">
        <f>G7-G8-G9-G14-G15-G16-G21-G22</f>
        <v>36</v>
      </c>
      <c r="H26" s="547">
        <f>H7-H8-H9-H14-H15-H16-H21-H22</f>
        <v>28</v>
      </c>
    </row>
    <row r="27" spans="1:3" ht="16.5" customHeight="1">
      <c r="A27" s="376" t="s">
        <v>180</v>
      </c>
      <c r="B27" s="377"/>
      <c r="C27" s="377"/>
    </row>
    <row r="28" spans="1:3" ht="12.75">
      <c r="A28" s="213" t="s">
        <v>74</v>
      </c>
      <c r="B28" s="377"/>
      <c r="C28" s="377"/>
    </row>
    <row r="29" spans="1:3" ht="12.75">
      <c r="A29" s="377"/>
      <c r="B29" s="377"/>
      <c r="C29" s="377"/>
    </row>
    <row r="30" ht="12.75"/>
    <row r="31" ht="12.75"/>
  </sheetData>
  <sheetProtection/>
  <mergeCells count="4">
    <mergeCell ref="A5:A6"/>
    <mergeCell ref="B5:B6"/>
    <mergeCell ref="D5:G5"/>
    <mergeCell ref="C5:C6"/>
  </mergeCells>
  <printOptions/>
  <pageMargins left="0.59" right="0.19" top="0.51" bottom="0.25" header="0.31" footer="0.4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I46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40.00390625" style="313" customWidth="1"/>
    <col min="2" max="6" width="12.140625" style="313" customWidth="1"/>
    <col min="7" max="7" width="12.140625" style="379" customWidth="1"/>
    <col min="8" max="8" width="12.140625" style="313" customWidth="1"/>
    <col min="9" max="16384" width="9.140625" style="313" customWidth="1"/>
  </cols>
  <sheetData>
    <row r="1" spans="1:3" ht="15.75" customHeight="1">
      <c r="A1" s="336" t="s">
        <v>234</v>
      </c>
      <c r="B1" s="378"/>
      <c r="C1" s="378"/>
    </row>
    <row r="2" spans="1:7" ht="12" customHeight="1">
      <c r="A2" s="380"/>
      <c r="G2" s="548" t="s">
        <v>117</v>
      </c>
    </row>
    <row r="3" ht="2.25" customHeight="1" thickBot="1"/>
    <row r="4" spans="1:8" ht="16.5" customHeight="1">
      <c r="A4" s="657" t="s">
        <v>118</v>
      </c>
      <c r="B4" s="658" t="s">
        <v>229</v>
      </c>
      <c r="C4" s="660" t="s">
        <v>230</v>
      </c>
      <c r="D4" s="652" t="s">
        <v>178</v>
      </c>
      <c r="E4" s="652"/>
      <c r="F4" s="652"/>
      <c r="G4" s="652"/>
      <c r="H4" s="509" t="s">
        <v>228</v>
      </c>
    </row>
    <row r="5" spans="1:8" ht="17.25" customHeight="1" thickBot="1">
      <c r="A5" s="649"/>
      <c r="B5" s="659"/>
      <c r="C5" s="661"/>
      <c r="D5" s="611" t="s">
        <v>78</v>
      </c>
      <c r="E5" s="612" t="s">
        <v>79</v>
      </c>
      <c r="F5" s="612" t="s">
        <v>80</v>
      </c>
      <c r="G5" s="613" t="s">
        <v>81</v>
      </c>
      <c r="H5" s="614" t="s">
        <v>78</v>
      </c>
    </row>
    <row r="6" spans="1:8" ht="12" customHeight="1">
      <c r="A6" s="558" t="s">
        <v>90</v>
      </c>
      <c r="B6" s="577">
        <v>37840</v>
      </c>
      <c r="C6" s="564">
        <f aca="true" t="shared" si="0" ref="C6:C17">SUM(D6:G6)</f>
        <v>34932</v>
      </c>
      <c r="D6" s="574">
        <v>7693</v>
      </c>
      <c r="E6" s="563">
        <f>E7+E19+E26+E32+E37</f>
        <v>9022</v>
      </c>
      <c r="F6" s="563">
        <f>F7+F19+F26+F32+F37</f>
        <v>8795</v>
      </c>
      <c r="G6" s="588">
        <f>G7+G19+G26+G32+G37</f>
        <v>9422</v>
      </c>
      <c r="H6" s="597">
        <f>H7+H19+H26+H32+H37</f>
        <v>7829</v>
      </c>
    </row>
    <row r="7" spans="1:9" ht="12.75" customHeight="1">
      <c r="A7" s="565" t="s">
        <v>119</v>
      </c>
      <c r="B7" s="559">
        <v>29488</v>
      </c>
      <c r="C7" s="578">
        <f t="shared" si="0"/>
        <v>27399</v>
      </c>
      <c r="D7" s="383">
        <v>6128</v>
      </c>
      <c r="E7" s="383">
        <f>7218+9</f>
        <v>7227</v>
      </c>
      <c r="F7" s="383">
        <v>6749</v>
      </c>
      <c r="G7" s="589">
        <f>7246+49</f>
        <v>7295</v>
      </c>
      <c r="H7" s="598">
        <f>5831+23</f>
        <v>5854</v>
      </c>
      <c r="I7" s="384"/>
    </row>
    <row r="8" spans="1:8" s="387" customFormat="1" ht="12.75" customHeight="1">
      <c r="A8" s="566" t="s">
        <v>120</v>
      </c>
      <c r="B8" s="579">
        <v>123</v>
      </c>
      <c r="C8" s="580">
        <f t="shared" si="0"/>
        <v>144</v>
      </c>
      <c r="D8" s="385">
        <v>31</v>
      </c>
      <c r="E8" s="385">
        <v>20</v>
      </c>
      <c r="F8" s="385">
        <v>35</v>
      </c>
      <c r="G8" s="590">
        <v>58</v>
      </c>
      <c r="H8" s="513">
        <v>50</v>
      </c>
    </row>
    <row r="9" spans="1:8" ht="12.75" customHeight="1">
      <c r="A9" s="566" t="s">
        <v>121</v>
      </c>
      <c r="B9" s="579">
        <v>1711</v>
      </c>
      <c r="C9" s="580">
        <f t="shared" si="0"/>
        <v>1748</v>
      </c>
      <c r="D9" s="385">
        <v>357</v>
      </c>
      <c r="E9" s="385">
        <v>447</v>
      </c>
      <c r="F9" s="385">
        <v>499</v>
      </c>
      <c r="G9" s="590">
        <v>445</v>
      </c>
      <c r="H9" s="513">
        <v>291</v>
      </c>
    </row>
    <row r="10" spans="1:8" ht="12.75" customHeight="1">
      <c r="A10" s="567" t="s">
        <v>122</v>
      </c>
      <c r="B10" s="579">
        <v>6694</v>
      </c>
      <c r="C10" s="580">
        <f t="shared" si="0"/>
        <v>6396</v>
      </c>
      <c r="D10" s="385">
        <v>1429</v>
      </c>
      <c r="E10" s="385">
        <f>1930+4</f>
        <v>1934</v>
      </c>
      <c r="F10" s="385">
        <v>1413</v>
      </c>
      <c r="G10" s="590">
        <f>8+1612</f>
        <v>1620</v>
      </c>
      <c r="H10" s="513">
        <f>1225+9</f>
        <v>1234</v>
      </c>
    </row>
    <row r="11" spans="1:8" ht="12.75" customHeight="1">
      <c r="A11" s="567" t="s">
        <v>123</v>
      </c>
      <c r="B11" s="579">
        <v>1431</v>
      </c>
      <c r="C11" s="580">
        <f t="shared" si="0"/>
        <v>1165</v>
      </c>
      <c r="D11" s="385">
        <v>307</v>
      </c>
      <c r="E11" s="385">
        <v>344</v>
      </c>
      <c r="F11" s="385">
        <v>248</v>
      </c>
      <c r="G11" s="590">
        <v>266</v>
      </c>
      <c r="H11" s="513">
        <v>226</v>
      </c>
    </row>
    <row r="12" spans="1:8" ht="12.75" customHeight="1">
      <c r="A12" s="568" t="s">
        <v>124</v>
      </c>
      <c r="B12" s="579">
        <v>2555</v>
      </c>
      <c r="C12" s="580">
        <f t="shared" si="0"/>
        <v>2024</v>
      </c>
      <c r="D12" s="385">
        <v>459</v>
      </c>
      <c r="E12" s="385">
        <f>448+1</f>
        <v>449</v>
      </c>
      <c r="F12" s="385">
        <v>461</v>
      </c>
      <c r="G12" s="590">
        <v>655</v>
      </c>
      <c r="H12" s="513">
        <f>769+1</f>
        <v>770</v>
      </c>
    </row>
    <row r="13" spans="1:8" ht="12.75" customHeight="1">
      <c r="A13" s="568" t="s">
        <v>125</v>
      </c>
      <c r="B13" s="579">
        <v>900</v>
      </c>
      <c r="C13" s="580">
        <f t="shared" si="0"/>
        <v>685</v>
      </c>
      <c r="D13" s="385">
        <v>219</v>
      </c>
      <c r="E13" s="385">
        <v>160</v>
      </c>
      <c r="F13" s="385">
        <v>151</v>
      </c>
      <c r="G13" s="590">
        <v>155</v>
      </c>
      <c r="H13" s="513">
        <v>104</v>
      </c>
    </row>
    <row r="14" spans="1:8" ht="12.75" customHeight="1">
      <c r="A14" s="568" t="s">
        <v>126</v>
      </c>
      <c r="B14" s="579">
        <v>237</v>
      </c>
      <c r="C14" s="580">
        <f t="shared" si="0"/>
        <v>172</v>
      </c>
      <c r="D14" s="385">
        <v>19</v>
      </c>
      <c r="E14" s="385">
        <v>61</v>
      </c>
      <c r="F14" s="385">
        <v>57</v>
      </c>
      <c r="G14" s="590">
        <f>1+34</f>
        <v>35</v>
      </c>
      <c r="H14" s="513">
        <f>85+1</f>
        <v>86</v>
      </c>
    </row>
    <row r="15" spans="1:8" ht="12.75" customHeight="1">
      <c r="A15" s="568" t="s">
        <v>127</v>
      </c>
      <c r="B15" s="579">
        <v>1314</v>
      </c>
      <c r="C15" s="580">
        <f t="shared" si="0"/>
        <v>985</v>
      </c>
      <c r="D15" s="385">
        <v>210</v>
      </c>
      <c r="E15" s="385">
        <v>225</v>
      </c>
      <c r="F15" s="385">
        <v>182</v>
      </c>
      <c r="G15" s="590">
        <f>7+361</f>
        <v>368</v>
      </c>
      <c r="H15" s="513">
        <f>348+1</f>
        <v>349</v>
      </c>
    </row>
    <row r="16" spans="1:8" ht="12.75" customHeight="1">
      <c r="A16" s="568" t="s">
        <v>128</v>
      </c>
      <c r="B16" s="579">
        <v>701</v>
      </c>
      <c r="C16" s="580">
        <f t="shared" si="0"/>
        <v>760</v>
      </c>
      <c r="D16" s="385">
        <v>179</v>
      </c>
      <c r="E16" s="385">
        <v>198</v>
      </c>
      <c r="F16" s="385">
        <v>201</v>
      </c>
      <c r="G16" s="590">
        <v>182</v>
      </c>
      <c r="H16" s="513">
        <v>139</v>
      </c>
    </row>
    <row r="17" spans="1:8" ht="12.75" customHeight="1">
      <c r="A17" s="568" t="s">
        <v>129</v>
      </c>
      <c r="B17" s="579">
        <v>13336</v>
      </c>
      <c r="C17" s="580">
        <f t="shared" si="0"/>
        <v>12839</v>
      </c>
      <c r="D17" s="385">
        <v>2843</v>
      </c>
      <c r="E17" s="385">
        <f>3291+1</f>
        <v>3292</v>
      </c>
      <c r="F17" s="385">
        <v>3372</v>
      </c>
      <c r="G17" s="590">
        <f>9+3323</f>
        <v>3332</v>
      </c>
      <c r="H17" s="513">
        <f>2502+7</f>
        <v>2509</v>
      </c>
    </row>
    <row r="18" spans="1:8" ht="12.75" customHeight="1">
      <c r="A18" s="568" t="s">
        <v>130</v>
      </c>
      <c r="B18" s="581">
        <f aca="true" t="shared" si="1" ref="B18:H18">B7-SUM(B8:B17)</f>
        <v>486</v>
      </c>
      <c r="C18" s="560">
        <f t="shared" si="1"/>
        <v>481</v>
      </c>
      <c r="D18" s="385">
        <f t="shared" si="1"/>
        <v>75</v>
      </c>
      <c r="E18" s="385">
        <f t="shared" si="1"/>
        <v>97</v>
      </c>
      <c r="F18" s="385">
        <f t="shared" si="1"/>
        <v>130</v>
      </c>
      <c r="G18" s="591">
        <f t="shared" si="1"/>
        <v>179</v>
      </c>
      <c r="H18" s="513">
        <f t="shared" si="1"/>
        <v>96</v>
      </c>
    </row>
    <row r="19" spans="1:8" ht="12.75" customHeight="1">
      <c r="A19" s="561" t="s">
        <v>131</v>
      </c>
      <c r="B19" s="559">
        <v>252</v>
      </c>
      <c r="C19" s="578">
        <f aca="true" t="shared" si="2" ref="C19:C24">SUM(D19:G19)</f>
        <v>319</v>
      </c>
      <c r="D19" s="383">
        <v>73</v>
      </c>
      <c r="E19" s="383">
        <f>98+1</f>
        <v>99</v>
      </c>
      <c r="F19" s="383">
        <v>56</v>
      </c>
      <c r="G19" s="589">
        <f>53+38</f>
        <v>91</v>
      </c>
      <c r="H19" s="598">
        <f>36+59</f>
        <v>95</v>
      </c>
    </row>
    <row r="20" spans="1:8" ht="12.75" customHeight="1">
      <c r="A20" s="569" t="s">
        <v>132</v>
      </c>
      <c r="B20" s="579">
        <v>24</v>
      </c>
      <c r="C20" s="580">
        <f t="shared" si="2"/>
        <v>20</v>
      </c>
      <c r="D20" s="385">
        <v>3</v>
      </c>
      <c r="E20" s="385">
        <v>5</v>
      </c>
      <c r="F20" s="385">
        <v>10</v>
      </c>
      <c r="G20" s="590">
        <v>2</v>
      </c>
      <c r="H20" s="599">
        <v>0</v>
      </c>
    </row>
    <row r="21" spans="1:8" ht="15.75" customHeight="1">
      <c r="A21" s="568" t="s">
        <v>181</v>
      </c>
      <c r="B21" s="579">
        <v>66</v>
      </c>
      <c r="C21" s="580">
        <f t="shared" si="2"/>
        <v>57</v>
      </c>
      <c r="D21" s="385">
        <v>17</v>
      </c>
      <c r="E21" s="385">
        <v>18</v>
      </c>
      <c r="F21" s="385">
        <v>7</v>
      </c>
      <c r="G21" s="590">
        <v>15</v>
      </c>
      <c r="H21" s="513">
        <f>6+1</f>
        <v>7</v>
      </c>
    </row>
    <row r="22" spans="1:8" ht="12.75" customHeight="1">
      <c r="A22" s="568" t="s">
        <v>133</v>
      </c>
      <c r="B22" s="579">
        <v>37</v>
      </c>
      <c r="C22" s="580">
        <f t="shared" si="2"/>
        <v>24</v>
      </c>
      <c r="D22" s="385">
        <v>11</v>
      </c>
      <c r="E22" s="385">
        <v>6</v>
      </c>
      <c r="F22" s="385">
        <v>1</v>
      </c>
      <c r="G22" s="590">
        <v>6</v>
      </c>
      <c r="H22" s="513">
        <v>11</v>
      </c>
    </row>
    <row r="23" spans="1:8" ht="12.75" customHeight="1">
      <c r="A23" s="568" t="s">
        <v>134</v>
      </c>
      <c r="B23" s="579">
        <v>31</v>
      </c>
      <c r="C23" s="580">
        <f t="shared" si="2"/>
        <v>14</v>
      </c>
      <c r="D23" s="385">
        <v>2</v>
      </c>
      <c r="E23" s="385">
        <v>6</v>
      </c>
      <c r="F23" s="388">
        <v>0</v>
      </c>
      <c r="G23" s="590">
        <v>6</v>
      </c>
      <c r="H23" s="599">
        <v>0</v>
      </c>
    </row>
    <row r="24" spans="1:8" ht="12.75" customHeight="1">
      <c r="A24" s="568" t="s">
        <v>223</v>
      </c>
      <c r="B24" s="582">
        <v>1</v>
      </c>
      <c r="C24" s="583">
        <f t="shared" si="2"/>
        <v>50</v>
      </c>
      <c r="D24" s="575">
        <v>0</v>
      </c>
      <c r="E24" s="389">
        <v>15</v>
      </c>
      <c r="F24" s="389">
        <v>24</v>
      </c>
      <c r="G24" s="592">
        <v>11</v>
      </c>
      <c r="H24" s="600">
        <v>8</v>
      </c>
    </row>
    <row r="25" spans="1:8" ht="12.75" customHeight="1">
      <c r="A25" s="568" t="s">
        <v>135</v>
      </c>
      <c r="B25" s="581">
        <f aca="true" t="shared" si="3" ref="B25:H25">B19-SUM(B20:B24)</f>
        <v>93</v>
      </c>
      <c r="C25" s="560">
        <f t="shared" si="3"/>
        <v>154</v>
      </c>
      <c r="D25" s="385">
        <f t="shared" si="3"/>
        <v>40</v>
      </c>
      <c r="E25" s="385">
        <f t="shared" si="3"/>
        <v>49</v>
      </c>
      <c r="F25" s="385">
        <f t="shared" si="3"/>
        <v>14</v>
      </c>
      <c r="G25" s="591">
        <f t="shared" si="3"/>
        <v>51</v>
      </c>
      <c r="H25" s="513">
        <f t="shared" si="3"/>
        <v>69</v>
      </c>
    </row>
    <row r="26" spans="1:8" ht="12.75" customHeight="1">
      <c r="A26" s="561" t="s">
        <v>136</v>
      </c>
      <c r="B26" s="584">
        <v>3495</v>
      </c>
      <c r="C26" s="585">
        <f>SUM(D26:G26)</f>
        <v>3264</v>
      </c>
      <c r="D26" s="390">
        <v>676</v>
      </c>
      <c r="E26" s="390">
        <f>690+19</f>
        <v>709</v>
      </c>
      <c r="F26" s="390">
        <v>877</v>
      </c>
      <c r="G26" s="593">
        <f>954+48</f>
        <v>1002</v>
      </c>
      <c r="H26" s="598">
        <f>817+57</f>
        <v>874</v>
      </c>
    </row>
    <row r="27" spans="1:8" ht="12.75" customHeight="1">
      <c r="A27" s="568" t="s">
        <v>137</v>
      </c>
      <c r="B27" s="582">
        <v>1390</v>
      </c>
      <c r="C27" s="583">
        <f>SUM(D27:G27)</f>
        <v>1113</v>
      </c>
      <c r="D27" s="389">
        <v>272</v>
      </c>
      <c r="E27" s="389">
        <f>343+5</f>
        <v>348</v>
      </c>
      <c r="F27" s="389">
        <v>249</v>
      </c>
      <c r="G27" s="592">
        <f>9+235</f>
        <v>244</v>
      </c>
      <c r="H27" s="513">
        <f>244+8</f>
        <v>252</v>
      </c>
    </row>
    <row r="28" spans="1:8" ht="12.75" customHeight="1">
      <c r="A28" s="568" t="s">
        <v>138</v>
      </c>
      <c r="B28" s="582">
        <v>333</v>
      </c>
      <c r="C28" s="583">
        <f>SUM(D28:G28)</f>
        <v>293</v>
      </c>
      <c r="D28" s="389">
        <v>52</v>
      </c>
      <c r="E28" s="389">
        <f>71+6</f>
        <v>77</v>
      </c>
      <c r="F28" s="389">
        <v>81</v>
      </c>
      <c r="G28" s="592">
        <f>15+68</f>
        <v>83</v>
      </c>
      <c r="H28" s="513">
        <f>47+15</f>
        <v>62</v>
      </c>
    </row>
    <row r="29" spans="1:8" ht="12.75" customHeight="1">
      <c r="A29" s="568" t="s">
        <v>224</v>
      </c>
      <c r="B29" s="582">
        <v>19</v>
      </c>
      <c r="C29" s="583">
        <f>SUM(D29:G29)</f>
        <v>19</v>
      </c>
      <c r="D29" s="389">
        <v>6</v>
      </c>
      <c r="E29" s="389">
        <v>3</v>
      </c>
      <c r="F29" s="389">
        <v>6</v>
      </c>
      <c r="G29" s="594">
        <v>4</v>
      </c>
      <c r="H29" s="513">
        <v>6</v>
      </c>
    </row>
    <row r="30" spans="1:8" ht="12.75" customHeight="1">
      <c r="A30" s="568" t="s">
        <v>139</v>
      </c>
      <c r="B30" s="582">
        <v>1525</v>
      </c>
      <c r="C30" s="583">
        <f>SUM(D30:G30)</f>
        <v>1723</v>
      </c>
      <c r="D30" s="389">
        <v>334</v>
      </c>
      <c r="E30" s="389">
        <v>264</v>
      </c>
      <c r="F30" s="389">
        <v>494</v>
      </c>
      <c r="G30" s="592">
        <f>8+623</f>
        <v>631</v>
      </c>
      <c r="H30" s="513">
        <f>511+19</f>
        <v>530</v>
      </c>
    </row>
    <row r="31" spans="1:8" ht="12.75" customHeight="1">
      <c r="A31" s="570" t="s">
        <v>135</v>
      </c>
      <c r="B31" s="581">
        <f aca="true" t="shared" si="4" ref="B31:H31">B26-SUM(B27:B30)</f>
        <v>228</v>
      </c>
      <c r="C31" s="560">
        <f t="shared" si="4"/>
        <v>116</v>
      </c>
      <c r="D31" s="385">
        <f t="shared" si="4"/>
        <v>12</v>
      </c>
      <c r="E31" s="385">
        <f t="shared" si="4"/>
        <v>17</v>
      </c>
      <c r="F31" s="385">
        <f t="shared" si="4"/>
        <v>47</v>
      </c>
      <c r="G31" s="591">
        <f t="shared" si="4"/>
        <v>40</v>
      </c>
      <c r="H31" s="513">
        <f t="shared" si="4"/>
        <v>24</v>
      </c>
    </row>
    <row r="32" spans="1:8" ht="12.75" customHeight="1">
      <c r="A32" s="571" t="s">
        <v>140</v>
      </c>
      <c r="B32" s="584">
        <v>4495</v>
      </c>
      <c r="C32" s="585">
        <f>SUM(D32:G32)</f>
        <v>3776</v>
      </c>
      <c r="D32" s="390">
        <v>788</v>
      </c>
      <c r="E32" s="390">
        <f>929+3</f>
        <v>932</v>
      </c>
      <c r="F32" s="390">
        <v>1053</v>
      </c>
      <c r="G32" s="593">
        <f>993+10</f>
        <v>1003</v>
      </c>
      <c r="H32" s="598">
        <f>973+2</f>
        <v>975</v>
      </c>
    </row>
    <row r="33" spans="1:8" ht="12.75" customHeight="1">
      <c r="A33" s="568" t="s">
        <v>141</v>
      </c>
      <c r="B33" s="582">
        <v>113</v>
      </c>
      <c r="C33" s="583">
        <f>SUM(D33:G33)</f>
        <v>125</v>
      </c>
      <c r="D33" s="389">
        <v>22</v>
      </c>
      <c r="E33" s="389">
        <v>20</v>
      </c>
      <c r="F33" s="389">
        <v>46</v>
      </c>
      <c r="G33" s="592">
        <v>37</v>
      </c>
      <c r="H33" s="513">
        <v>39</v>
      </c>
    </row>
    <row r="34" spans="1:8" ht="12.75" customHeight="1">
      <c r="A34" s="568" t="s">
        <v>225</v>
      </c>
      <c r="B34" s="582">
        <v>82</v>
      </c>
      <c r="C34" s="583">
        <f>SUM(D34:G34)</f>
        <v>93</v>
      </c>
      <c r="D34" s="389">
        <v>14</v>
      </c>
      <c r="E34" s="389">
        <v>24</v>
      </c>
      <c r="F34" s="389">
        <v>22</v>
      </c>
      <c r="G34" s="594">
        <v>33</v>
      </c>
      <c r="H34" s="513">
        <v>21</v>
      </c>
    </row>
    <row r="35" spans="1:8" ht="12.75" customHeight="1">
      <c r="A35" s="568" t="s">
        <v>142</v>
      </c>
      <c r="B35" s="579">
        <v>4214</v>
      </c>
      <c r="C35" s="580">
        <f>SUM(D35:G35)</f>
        <v>3462</v>
      </c>
      <c r="D35" s="385">
        <v>741</v>
      </c>
      <c r="E35" s="385">
        <f>846+3</f>
        <v>849</v>
      </c>
      <c r="F35" s="385">
        <v>971</v>
      </c>
      <c r="G35" s="590">
        <f>9+892</f>
        <v>901</v>
      </c>
      <c r="H35" s="513">
        <f>902+1</f>
        <v>903</v>
      </c>
    </row>
    <row r="36" spans="1:8" ht="12.75" customHeight="1">
      <c r="A36" s="568" t="s">
        <v>135</v>
      </c>
      <c r="B36" s="581">
        <f aca="true" t="shared" si="5" ref="B36:H36">B32-SUM(B33:B35)</f>
        <v>86</v>
      </c>
      <c r="C36" s="560">
        <f t="shared" si="5"/>
        <v>96</v>
      </c>
      <c r="D36" s="385">
        <f t="shared" si="5"/>
        <v>11</v>
      </c>
      <c r="E36" s="385">
        <f t="shared" si="5"/>
        <v>39</v>
      </c>
      <c r="F36" s="385">
        <f t="shared" si="5"/>
        <v>14</v>
      </c>
      <c r="G36" s="591">
        <f t="shared" si="5"/>
        <v>32</v>
      </c>
      <c r="H36" s="513">
        <f t="shared" si="5"/>
        <v>12</v>
      </c>
    </row>
    <row r="37" spans="1:8" ht="12.75" customHeight="1">
      <c r="A37" s="572" t="s">
        <v>143</v>
      </c>
      <c r="B37" s="559">
        <v>110</v>
      </c>
      <c r="C37" s="578">
        <f>SUM(D37:G37)</f>
        <v>174</v>
      </c>
      <c r="D37" s="383">
        <v>28</v>
      </c>
      <c r="E37" s="383">
        <v>55</v>
      </c>
      <c r="F37" s="383">
        <v>60</v>
      </c>
      <c r="G37" s="589">
        <v>31</v>
      </c>
      <c r="H37" s="598">
        <v>31</v>
      </c>
    </row>
    <row r="38" spans="1:8" ht="12.75" customHeight="1">
      <c r="A38" s="568" t="s">
        <v>144</v>
      </c>
      <c r="B38" s="579">
        <v>107</v>
      </c>
      <c r="C38" s="580">
        <f>SUM(D38:G38)</f>
        <v>171</v>
      </c>
      <c r="D38" s="385">
        <v>27</v>
      </c>
      <c r="E38" s="385">
        <v>54</v>
      </c>
      <c r="F38" s="385">
        <v>59</v>
      </c>
      <c r="G38" s="590">
        <v>31</v>
      </c>
      <c r="H38" s="513">
        <v>31</v>
      </c>
    </row>
    <row r="39" spans="1:8" ht="12.75" customHeight="1">
      <c r="A39" s="568" t="s">
        <v>145</v>
      </c>
      <c r="B39" s="579">
        <v>2</v>
      </c>
      <c r="C39" s="519">
        <f>SUM(D39:G39)</f>
        <v>3</v>
      </c>
      <c r="D39" s="385">
        <v>1</v>
      </c>
      <c r="E39" s="385">
        <v>1</v>
      </c>
      <c r="F39" s="385">
        <v>1</v>
      </c>
      <c r="G39" s="595">
        <v>0</v>
      </c>
      <c r="H39" s="601">
        <v>0</v>
      </c>
    </row>
    <row r="40" spans="1:8" ht="12.75" customHeight="1" thickBot="1">
      <c r="A40" s="573" t="s">
        <v>135</v>
      </c>
      <c r="B40" s="586">
        <v>1</v>
      </c>
      <c r="C40" s="587">
        <f>SUM(D40:G40)</f>
        <v>0</v>
      </c>
      <c r="D40" s="576">
        <f>D37-SUM(D38:D39)</f>
        <v>0</v>
      </c>
      <c r="E40" s="562">
        <f>E37-SUM(E38:E39)</f>
        <v>0</v>
      </c>
      <c r="F40" s="562">
        <f>F37-SUM(F38:F39)</f>
        <v>0</v>
      </c>
      <c r="G40" s="596">
        <f>G37-SUM(G38:G39)</f>
        <v>0</v>
      </c>
      <c r="H40" s="602">
        <f>H37-SUM(H38:H39)</f>
        <v>0</v>
      </c>
    </row>
    <row r="41" spans="1:8" ht="16.5" customHeight="1">
      <c r="A41" s="392" t="s">
        <v>182</v>
      </c>
      <c r="B41" s="393"/>
      <c r="C41" s="393"/>
      <c r="H41" s="557"/>
    </row>
    <row r="42" spans="1:3" ht="17.25" customHeight="1">
      <c r="A42" s="213" t="s">
        <v>74</v>
      </c>
      <c r="B42" s="393"/>
      <c r="C42" s="393"/>
    </row>
    <row r="43" spans="1:3" ht="17.25" customHeight="1">
      <c r="A43" s="393"/>
      <c r="B43" s="393"/>
      <c r="C43" s="393"/>
    </row>
    <row r="44" spans="1:3" ht="17.25" customHeight="1">
      <c r="A44" s="393"/>
      <c r="B44" s="393"/>
      <c r="C44" s="393"/>
    </row>
    <row r="45" spans="1:3" ht="17.25" customHeight="1">
      <c r="A45" s="393"/>
      <c r="B45" s="393"/>
      <c r="C45" s="393"/>
    </row>
    <row r="46" spans="1:3" ht="17.25" customHeight="1">
      <c r="A46" s="393"/>
      <c r="B46" s="393"/>
      <c r="C46" s="393"/>
    </row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7.25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</sheetData>
  <sheetProtection/>
  <mergeCells count="4">
    <mergeCell ref="A4:A5"/>
    <mergeCell ref="B4:B5"/>
    <mergeCell ref="D4:G4"/>
    <mergeCell ref="C4:C5"/>
  </mergeCells>
  <printOptions/>
  <pageMargins left="0.73" right="0.19" top="0.39" bottom="0" header="0.22" footer="0.16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DJ47"/>
  <sheetViews>
    <sheetView zoomScalePageLayoutView="0" workbookViewId="0" topLeftCell="A1">
      <selection activeCell="A13" sqref="A13"/>
    </sheetView>
  </sheetViews>
  <sheetFormatPr defaultColWidth="8.00390625" defaultRowHeight="12.75"/>
  <cols>
    <col min="1" max="1" width="40.00390625" style="334" customWidth="1"/>
    <col min="2" max="6" width="12.57421875" style="334" customWidth="1"/>
    <col min="7" max="7" width="12.57421875" style="395" customWidth="1"/>
    <col min="8" max="8" width="12.57421875" style="334" customWidth="1"/>
    <col min="9" max="16384" width="8.00390625" style="334" customWidth="1"/>
  </cols>
  <sheetData>
    <row r="1" spans="1:3" ht="15.75" customHeight="1">
      <c r="A1" s="363" t="s">
        <v>235</v>
      </c>
      <c r="B1" s="394"/>
      <c r="C1" s="394"/>
    </row>
    <row r="2" spans="1:8" ht="10.5" customHeight="1">
      <c r="A2" s="338"/>
      <c r="B2" s="338"/>
      <c r="C2" s="338"/>
      <c r="H2" s="319" t="s">
        <v>146</v>
      </c>
    </row>
    <row r="3" spans="1:8" ht="3.75" customHeight="1">
      <c r="A3" s="338"/>
      <c r="B3" s="338"/>
      <c r="C3" s="338"/>
      <c r="H3" s="319"/>
    </row>
    <row r="4" spans="1:8" ht="13.5" customHeight="1">
      <c r="A4" s="662" t="s">
        <v>147</v>
      </c>
      <c r="B4" s="664" t="s">
        <v>229</v>
      </c>
      <c r="C4" s="664" t="s">
        <v>230</v>
      </c>
      <c r="D4" s="665" t="s">
        <v>178</v>
      </c>
      <c r="E4" s="666"/>
      <c r="F4" s="666"/>
      <c r="G4" s="667"/>
      <c r="H4" s="343" t="s">
        <v>228</v>
      </c>
    </row>
    <row r="5" spans="1:8" ht="12" customHeight="1">
      <c r="A5" s="663"/>
      <c r="B5" s="663"/>
      <c r="C5" s="663"/>
      <c r="D5" s="320" t="s">
        <v>78</v>
      </c>
      <c r="E5" s="344" t="s">
        <v>100</v>
      </c>
      <c r="F5" s="344" t="s">
        <v>101</v>
      </c>
      <c r="G5" s="344" t="s">
        <v>102</v>
      </c>
      <c r="H5" s="321" t="s">
        <v>78</v>
      </c>
    </row>
    <row r="6" spans="1:8" ht="12" customHeight="1">
      <c r="A6" s="396" t="s">
        <v>103</v>
      </c>
      <c r="B6" s="381">
        <v>21036</v>
      </c>
      <c r="C6" s="381">
        <f aca="true" t="shared" si="0" ref="C6:C44">SUM(D6:G6)</f>
        <v>19896</v>
      </c>
      <c r="D6" s="381">
        <v>5834</v>
      </c>
      <c r="E6" s="381">
        <f>E7+E18+E30+E38+E42</f>
        <v>4740</v>
      </c>
      <c r="F6" s="381">
        <v>4702</v>
      </c>
      <c r="G6" s="381">
        <f>G7+G18+G30+G38+G42</f>
        <v>4620</v>
      </c>
      <c r="H6" s="381">
        <f>H7+H18+H30+H38+H42</f>
        <v>3784</v>
      </c>
    </row>
    <row r="7" spans="1:8" ht="11.25" customHeight="1">
      <c r="A7" s="397" t="s">
        <v>119</v>
      </c>
      <c r="B7" s="398">
        <v>9759</v>
      </c>
      <c r="C7" s="398">
        <f t="shared" si="0"/>
        <v>9509</v>
      </c>
      <c r="D7" s="382">
        <v>2690</v>
      </c>
      <c r="E7" s="382">
        <f>2319+51</f>
        <v>2370</v>
      </c>
      <c r="F7" s="382">
        <v>2309</v>
      </c>
      <c r="G7" s="382">
        <f>2085+55</f>
        <v>2140</v>
      </c>
      <c r="H7" s="382">
        <f>1654+52</f>
        <v>1706</v>
      </c>
    </row>
    <row r="8" spans="1:8" ht="11.25" customHeight="1">
      <c r="A8" s="399" t="s">
        <v>148</v>
      </c>
      <c r="B8" s="400">
        <v>946</v>
      </c>
      <c r="C8" s="400">
        <f t="shared" si="0"/>
        <v>907</v>
      </c>
      <c r="D8" s="386">
        <v>184</v>
      </c>
      <c r="E8" s="386">
        <v>235</v>
      </c>
      <c r="F8" s="386">
        <v>233</v>
      </c>
      <c r="G8" s="386">
        <f>4+251</f>
        <v>255</v>
      </c>
      <c r="H8" s="386">
        <f>224+1</f>
        <v>225</v>
      </c>
    </row>
    <row r="9" spans="1:8" ht="11.25" customHeight="1">
      <c r="A9" s="374" t="s">
        <v>149</v>
      </c>
      <c r="B9" s="400">
        <v>2414</v>
      </c>
      <c r="C9" s="400">
        <f t="shared" si="0"/>
        <v>2515</v>
      </c>
      <c r="D9" s="386">
        <v>626</v>
      </c>
      <c r="E9" s="386">
        <f>631+25</f>
        <v>656</v>
      </c>
      <c r="F9" s="386">
        <v>700</v>
      </c>
      <c r="G9" s="386">
        <f>16+517</f>
        <v>533</v>
      </c>
      <c r="H9" s="386">
        <f>553+24</f>
        <v>577</v>
      </c>
    </row>
    <row r="10" spans="1:8" ht="11.25" customHeight="1">
      <c r="A10" s="374" t="s">
        <v>150</v>
      </c>
      <c r="B10" s="400">
        <v>685</v>
      </c>
      <c r="C10" s="400">
        <f t="shared" si="0"/>
        <v>506</v>
      </c>
      <c r="D10" s="386">
        <v>126</v>
      </c>
      <c r="E10" s="386">
        <f>123+4</f>
        <v>127</v>
      </c>
      <c r="F10" s="386">
        <v>130</v>
      </c>
      <c r="G10" s="386">
        <f>11+112</f>
        <v>123</v>
      </c>
      <c r="H10" s="386">
        <f>71+9</f>
        <v>80</v>
      </c>
    </row>
    <row r="11" spans="1:8" ht="11.25" customHeight="1">
      <c r="A11" s="374" t="s">
        <v>151</v>
      </c>
      <c r="B11" s="400">
        <v>1274</v>
      </c>
      <c r="C11" s="400">
        <f t="shared" si="0"/>
        <v>1102</v>
      </c>
      <c r="D11" s="386">
        <v>251</v>
      </c>
      <c r="E11" s="386">
        <f>287+15</f>
        <v>302</v>
      </c>
      <c r="F11" s="386">
        <v>222</v>
      </c>
      <c r="G11" s="386">
        <f>9+318</f>
        <v>327</v>
      </c>
      <c r="H11" s="386">
        <f>111+4</f>
        <v>115</v>
      </c>
    </row>
    <row r="12" spans="1:8" ht="11.25" customHeight="1">
      <c r="A12" s="374" t="s">
        <v>152</v>
      </c>
      <c r="B12" s="351">
        <v>54</v>
      </c>
      <c r="C12" s="351">
        <f t="shared" si="0"/>
        <v>468</v>
      </c>
      <c r="D12" s="386">
        <v>3</v>
      </c>
      <c r="E12" s="386">
        <v>76</v>
      </c>
      <c r="F12" s="386">
        <v>145</v>
      </c>
      <c r="G12" s="386">
        <v>244</v>
      </c>
      <c r="H12" s="386">
        <v>230</v>
      </c>
    </row>
    <row r="13" spans="1:8" ht="11.25" customHeight="1">
      <c r="A13" s="374" t="s">
        <v>153</v>
      </c>
      <c r="B13" s="400">
        <v>2011</v>
      </c>
      <c r="C13" s="400">
        <f t="shared" si="0"/>
        <v>2719</v>
      </c>
      <c r="D13" s="386">
        <v>1185</v>
      </c>
      <c r="E13" s="386">
        <v>629</v>
      </c>
      <c r="F13" s="386">
        <v>581</v>
      </c>
      <c r="G13" s="386">
        <v>324</v>
      </c>
      <c r="H13" s="386">
        <f>274+2</f>
        <v>276</v>
      </c>
    </row>
    <row r="14" spans="1:8" ht="11.25" customHeight="1">
      <c r="A14" s="374" t="s">
        <v>154</v>
      </c>
      <c r="B14" s="351">
        <v>63</v>
      </c>
      <c r="C14" s="351">
        <f t="shared" si="0"/>
        <v>23</v>
      </c>
      <c r="D14" s="401">
        <v>0</v>
      </c>
      <c r="E14" s="386">
        <f>1+3</f>
        <v>4</v>
      </c>
      <c r="F14" s="386">
        <v>5</v>
      </c>
      <c r="G14" s="386">
        <f>5+9</f>
        <v>14</v>
      </c>
      <c r="H14" s="386">
        <v>7</v>
      </c>
    </row>
    <row r="15" spans="1:8" ht="11.25" customHeight="1">
      <c r="A15" s="374" t="s">
        <v>155</v>
      </c>
      <c r="B15" s="400">
        <v>1241</v>
      </c>
      <c r="C15" s="400">
        <f t="shared" si="0"/>
        <v>720</v>
      </c>
      <c r="D15" s="386">
        <v>162</v>
      </c>
      <c r="E15" s="386">
        <v>194</v>
      </c>
      <c r="F15" s="386">
        <v>164</v>
      </c>
      <c r="G15" s="386">
        <f>1+199</f>
        <v>200</v>
      </c>
      <c r="H15" s="386">
        <f>114+1</f>
        <v>115</v>
      </c>
    </row>
    <row r="16" spans="1:8" ht="11.25" customHeight="1">
      <c r="A16" s="374" t="s">
        <v>156</v>
      </c>
      <c r="B16" s="400">
        <v>731</v>
      </c>
      <c r="C16" s="400">
        <f t="shared" si="0"/>
        <v>336</v>
      </c>
      <c r="D16" s="386">
        <v>109</v>
      </c>
      <c r="E16" s="386">
        <f>96+2</f>
        <v>98</v>
      </c>
      <c r="F16" s="386">
        <v>73</v>
      </c>
      <c r="G16" s="386">
        <f>1+55</f>
        <v>56</v>
      </c>
      <c r="H16" s="386">
        <f>33+2</f>
        <v>35</v>
      </c>
    </row>
    <row r="17" spans="1:8" ht="11.25" customHeight="1">
      <c r="A17" s="374" t="s">
        <v>157</v>
      </c>
      <c r="B17" s="402">
        <v>340</v>
      </c>
      <c r="C17" s="402">
        <f t="shared" si="0"/>
        <v>213</v>
      </c>
      <c r="D17" s="403">
        <v>44</v>
      </c>
      <c r="E17" s="403">
        <f>E7-SUM(E8:E16)</f>
        <v>49</v>
      </c>
      <c r="F17" s="403">
        <f>F7-SUM(F8:F16)</f>
        <v>56</v>
      </c>
      <c r="G17" s="403">
        <f>G7-SUM(G8:G16)</f>
        <v>64</v>
      </c>
      <c r="H17" s="403">
        <f>H7-SUM(H8:H16)</f>
        <v>46</v>
      </c>
    </row>
    <row r="18" spans="1:8" ht="11.25" customHeight="1">
      <c r="A18" s="370" t="s">
        <v>131</v>
      </c>
      <c r="B18" s="398">
        <v>7577</v>
      </c>
      <c r="C18" s="398">
        <f t="shared" si="0"/>
        <v>6868</v>
      </c>
      <c r="D18" s="382">
        <v>2042</v>
      </c>
      <c r="E18" s="382">
        <f>1476+20</f>
        <v>1496</v>
      </c>
      <c r="F18" s="382">
        <v>1752</v>
      </c>
      <c r="G18" s="382">
        <f>1471+107</f>
        <v>1578</v>
      </c>
      <c r="H18" s="382">
        <f>1319+128</f>
        <v>1447</v>
      </c>
    </row>
    <row r="19" spans="1:8" ht="11.25" customHeight="1">
      <c r="A19" s="374" t="s">
        <v>158</v>
      </c>
      <c r="B19" s="400">
        <v>2483</v>
      </c>
      <c r="C19" s="400">
        <f t="shared" si="0"/>
        <v>2221</v>
      </c>
      <c r="D19" s="386">
        <v>535</v>
      </c>
      <c r="E19" s="386">
        <f>590+3</f>
        <v>593</v>
      </c>
      <c r="F19" s="386">
        <v>504</v>
      </c>
      <c r="G19" s="386">
        <f>23+566</f>
        <v>589</v>
      </c>
      <c r="H19" s="386">
        <f>572+18</f>
        <v>590</v>
      </c>
    </row>
    <row r="20" spans="1:8" ht="13.5" customHeight="1">
      <c r="A20" s="374" t="s">
        <v>183</v>
      </c>
      <c r="B20" s="400">
        <v>308</v>
      </c>
      <c r="C20" s="400">
        <f t="shared" si="0"/>
        <v>238</v>
      </c>
      <c r="D20" s="386">
        <v>55</v>
      </c>
      <c r="E20" s="386">
        <v>52</v>
      </c>
      <c r="F20" s="386">
        <v>58</v>
      </c>
      <c r="G20" s="386">
        <v>73</v>
      </c>
      <c r="H20" s="386">
        <v>57</v>
      </c>
    </row>
    <row r="21" spans="1:8" ht="11.25" customHeight="1">
      <c r="A21" s="374" t="s">
        <v>159</v>
      </c>
      <c r="B21" s="400">
        <v>2372</v>
      </c>
      <c r="C21" s="400">
        <f t="shared" si="0"/>
        <v>2134</v>
      </c>
      <c r="D21" s="386">
        <v>852</v>
      </c>
      <c r="E21" s="386">
        <f>501+2</f>
        <v>503</v>
      </c>
      <c r="F21" s="386">
        <v>371</v>
      </c>
      <c r="G21" s="386">
        <f>22+386</f>
        <v>408</v>
      </c>
      <c r="H21" s="386">
        <f>292+33</f>
        <v>325</v>
      </c>
    </row>
    <row r="22" spans="1:8" ht="11.25" customHeight="1">
      <c r="A22" s="374" t="s">
        <v>160</v>
      </c>
      <c r="B22" s="400">
        <v>424</v>
      </c>
      <c r="C22" s="400">
        <f t="shared" si="0"/>
        <v>462</v>
      </c>
      <c r="D22" s="386">
        <v>99</v>
      </c>
      <c r="E22" s="386">
        <v>68</v>
      </c>
      <c r="F22" s="386">
        <v>119</v>
      </c>
      <c r="G22" s="386">
        <f>1+175</f>
        <v>176</v>
      </c>
      <c r="H22" s="386">
        <f>107+2</f>
        <v>109</v>
      </c>
    </row>
    <row r="23" spans="1:8" ht="11.25" customHeight="1">
      <c r="A23" s="374" t="s">
        <v>161</v>
      </c>
      <c r="B23" s="400">
        <v>335</v>
      </c>
      <c r="C23" s="400">
        <f t="shared" si="0"/>
        <v>125</v>
      </c>
      <c r="D23" s="386">
        <v>54</v>
      </c>
      <c r="E23" s="386">
        <f>22+1</f>
        <v>23</v>
      </c>
      <c r="F23" s="386">
        <v>26</v>
      </c>
      <c r="G23" s="386">
        <f>1+21</f>
        <v>22</v>
      </c>
      <c r="H23" s="386">
        <f>10+1</f>
        <v>11</v>
      </c>
    </row>
    <row r="24" spans="1:8" ht="11.25" customHeight="1">
      <c r="A24" s="374" t="s">
        <v>162</v>
      </c>
      <c r="B24" s="400">
        <v>399</v>
      </c>
      <c r="C24" s="400">
        <f t="shared" si="0"/>
        <v>723</v>
      </c>
      <c r="D24" s="386">
        <v>213</v>
      </c>
      <c r="E24" s="386">
        <v>32</v>
      </c>
      <c r="F24" s="386">
        <v>464</v>
      </c>
      <c r="G24" s="386">
        <f>2+12</f>
        <v>14</v>
      </c>
      <c r="H24" s="386">
        <f>14+1</f>
        <v>15</v>
      </c>
    </row>
    <row r="25" spans="1:8" ht="11.25" customHeight="1">
      <c r="A25" s="374" t="s">
        <v>163</v>
      </c>
      <c r="B25" s="400">
        <v>92</v>
      </c>
      <c r="C25" s="400">
        <f t="shared" si="0"/>
        <v>83</v>
      </c>
      <c r="D25" s="386">
        <v>14</v>
      </c>
      <c r="E25" s="386">
        <f>10+3</f>
        <v>13</v>
      </c>
      <c r="F25" s="386">
        <v>17</v>
      </c>
      <c r="G25" s="386">
        <f>26+13</f>
        <v>39</v>
      </c>
      <c r="H25" s="386">
        <f>8+30</f>
        <v>38</v>
      </c>
    </row>
    <row r="26" spans="1:8" ht="11.25" customHeight="1">
      <c r="A26" s="374" t="s">
        <v>164</v>
      </c>
      <c r="B26" s="400">
        <v>262</v>
      </c>
      <c r="C26" s="400">
        <f t="shared" si="0"/>
        <v>163</v>
      </c>
      <c r="D26" s="386">
        <v>26</v>
      </c>
      <c r="E26" s="386">
        <v>45</v>
      </c>
      <c r="F26" s="386">
        <v>42</v>
      </c>
      <c r="G26" s="386">
        <v>50</v>
      </c>
      <c r="H26" s="386">
        <v>9</v>
      </c>
    </row>
    <row r="27" spans="1:8" ht="11.25" customHeight="1">
      <c r="A27" s="374" t="s">
        <v>165</v>
      </c>
      <c r="B27" s="400">
        <v>166</v>
      </c>
      <c r="C27" s="400">
        <f t="shared" si="0"/>
        <v>42</v>
      </c>
      <c r="D27" s="386">
        <v>9</v>
      </c>
      <c r="E27" s="386">
        <f>15+1</f>
        <v>16</v>
      </c>
      <c r="F27" s="386">
        <v>8</v>
      </c>
      <c r="G27" s="386">
        <f>2+7</f>
        <v>9</v>
      </c>
      <c r="H27" s="386">
        <f>3+2</f>
        <v>5</v>
      </c>
    </row>
    <row r="28" spans="1:8" ht="11.25" customHeight="1">
      <c r="A28" s="374" t="s">
        <v>166</v>
      </c>
      <c r="B28" s="400">
        <v>419</v>
      </c>
      <c r="C28" s="400">
        <f t="shared" si="0"/>
        <v>464</v>
      </c>
      <c r="D28" s="386">
        <v>113</v>
      </c>
      <c r="E28" s="386">
        <f>94+10</f>
        <v>104</v>
      </c>
      <c r="F28" s="386">
        <v>91</v>
      </c>
      <c r="G28" s="386">
        <f>16+140</f>
        <v>156</v>
      </c>
      <c r="H28" s="386">
        <f>142+6</f>
        <v>148</v>
      </c>
    </row>
    <row r="29" spans="1:114" ht="11.25" customHeight="1">
      <c r="A29" s="374" t="s">
        <v>157</v>
      </c>
      <c r="B29" s="386">
        <v>317</v>
      </c>
      <c r="C29" s="386">
        <f t="shared" si="0"/>
        <v>213</v>
      </c>
      <c r="D29" s="386">
        <v>72</v>
      </c>
      <c r="E29" s="386">
        <f>E18-SUM(E19:E28)</f>
        <v>47</v>
      </c>
      <c r="F29" s="386">
        <f>F18-SUM(F19:F28)</f>
        <v>52</v>
      </c>
      <c r="G29" s="386">
        <f>G18-SUM(G19:G28)</f>
        <v>42</v>
      </c>
      <c r="H29" s="386">
        <f>H18-SUM(H19:H28)</f>
        <v>140</v>
      </c>
      <c r="I29" s="404"/>
      <c r="J29" s="404"/>
      <c r="K29" s="404"/>
      <c r="L29" s="404"/>
      <c r="M29" s="404"/>
      <c r="N29" s="404"/>
      <c r="O29" s="404"/>
      <c r="P29" s="404"/>
      <c r="Q29" s="404"/>
      <c r="R29" s="404"/>
      <c r="S29" s="404"/>
      <c r="T29" s="404"/>
      <c r="U29" s="404"/>
      <c r="V29" s="404"/>
      <c r="W29" s="404"/>
      <c r="X29" s="404"/>
      <c r="Y29" s="404"/>
      <c r="Z29" s="404"/>
      <c r="AA29" s="404"/>
      <c r="AB29" s="404"/>
      <c r="AC29" s="404"/>
      <c r="AD29" s="404"/>
      <c r="AE29" s="404"/>
      <c r="AF29" s="404"/>
      <c r="AG29" s="404"/>
      <c r="AH29" s="404"/>
      <c r="AI29" s="404"/>
      <c r="AJ29" s="404"/>
      <c r="AK29" s="404"/>
      <c r="AL29" s="404"/>
      <c r="AM29" s="404"/>
      <c r="AN29" s="404"/>
      <c r="AO29" s="404"/>
      <c r="AP29" s="404"/>
      <c r="AQ29" s="404"/>
      <c r="AR29" s="404"/>
      <c r="AS29" s="404"/>
      <c r="AT29" s="404"/>
      <c r="AU29" s="404"/>
      <c r="AV29" s="404"/>
      <c r="AW29" s="404"/>
      <c r="AX29" s="404"/>
      <c r="AY29" s="404"/>
      <c r="AZ29" s="404"/>
      <c r="BA29" s="404"/>
      <c r="BB29" s="404"/>
      <c r="BC29" s="404"/>
      <c r="BD29" s="404"/>
      <c r="BE29" s="404"/>
      <c r="BF29" s="404"/>
      <c r="BG29" s="404"/>
      <c r="BH29" s="404"/>
      <c r="BI29" s="404"/>
      <c r="BJ29" s="404"/>
      <c r="BK29" s="404"/>
      <c r="BL29" s="404"/>
      <c r="BM29" s="404"/>
      <c r="BN29" s="404"/>
      <c r="BO29" s="404"/>
      <c r="BP29" s="404"/>
      <c r="BQ29" s="404"/>
      <c r="BR29" s="404"/>
      <c r="BS29" s="404"/>
      <c r="BT29" s="404"/>
      <c r="BU29" s="404"/>
      <c r="BV29" s="404"/>
      <c r="BW29" s="404"/>
      <c r="BX29" s="404"/>
      <c r="BY29" s="404"/>
      <c r="BZ29" s="404"/>
      <c r="CA29" s="404"/>
      <c r="CB29" s="404"/>
      <c r="CC29" s="404"/>
      <c r="CD29" s="404"/>
      <c r="CE29" s="404"/>
      <c r="CF29" s="404"/>
      <c r="CG29" s="404"/>
      <c r="CH29" s="404"/>
      <c r="CI29" s="404"/>
      <c r="CJ29" s="404"/>
      <c r="CK29" s="404"/>
      <c r="CL29" s="404"/>
      <c r="CM29" s="404"/>
      <c r="CN29" s="404"/>
      <c r="CO29" s="404"/>
      <c r="CP29" s="404"/>
      <c r="CQ29" s="404"/>
      <c r="CR29" s="404"/>
      <c r="CS29" s="404"/>
      <c r="CT29" s="404"/>
      <c r="CU29" s="404"/>
      <c r="CV29" s="404"/>
      <c r="CW29" s="404"/>
      <c r="CX29" s="404"/>
      <c r="CY29" s="404"/>
      <c r="CZ29" s="404"/>
      <c r="DA29" s="404"/>
      <c r="DB29" s="404"/>
      <c r="DC29" s="404"/>
      <c r="DD29" s="404"/>
      <c r="DE29" s="404"/>
      <c r="DF29" s="404"/>
      <c r="DG29" s="404"/>
      <c r="DH29" s="404"/>
      <c r="DI29" s="404"/>
      <c r="DJ29" s="404"/>
    </row>
    <row r="30" spans="1:8" ht="11.25" customHeight="1">
      <c r="A30" s="370" t="s">
        <v>136</v>
      </c>
      <c r="B30" s="398">
        <v>2757</v>
      </c>
      <c r="C30" s="398">
        <f t="shared" si="0"/>
        <v>2266</v>
      </c>
      <c r="D30" s="382">
        <v>912</v>
      </c>
      <c r="E30" s="382">
        <f>505+10</f>
        <v>515</v>
      </c>
      <c r="F30" s="382">
        <v>311</v>
      </c>
      <c r="G30" s="382">
        <f>489+39</f>
        <v>528</v>
      </c>
      <c r="H30" s="382">
        <f>377+47</f>
        <v>424</v>
      </c>
    </row>
    <row r="31" spans="1:8" ht="11.25" customHeight="1">
      <c r="A31" s="374" t="s">
        <v>167</v>
      </c>
      <c r="B31" s="405">
        <v>34</v>
      </c>
      <c r="C31" s="405">
        <f t="shared" si="0"/>
        <v>25</v>
      </c>
      <c r="D31" s="369">
        <v>25</v>
      </c>
      <c r="E31" s="401">
        <v>0</v>
      </c>
      <c r="F31" s="401">
        <v>0</v>
      </c>
      <c r="G31" s="401">
        <v>0</v>
      </c>
      <c r="H31" s="401">
        <v>0</v>
      </c>
    </row>
    <row r="32" spans="1:8" ht="11.25" customHeight="1">
      <c r="A32" s="374" t="s">
        <v>168</v>
      </c>
      <c r="B32" s="400">
        <v>123</v>
      </c>
      <c r="C32" s="400">
        <f t="shared" si="0"/>
        <v>116</v>
      </c>
      <c r="D32" s="386">
        <v>54</v>
      </c>
      <c r="E32" s="386">
        <v>16</v>
      </c>
      <c r="F32" s="386">
        <v>21</v>
      </c>
      <c r="G32" s="386">
        <f>3+22</f>
        <v>25</v>
      </c>
      <c r="H32" s="386">
        <f>14+1</f>
        <v>15</v>
      </c>
    </row>
    <row r="33" spans="1:8" ht="11.25" customHeight="1">
      <c r="A33" s="374" t="s">
        <v>169</v>
      </c>
      <c r="B33" s="400">
        <v>128</v>
      </c>
      <c r="C33" s="400">
        <f t="shared" si="0"/>
        <v>62</v>
      </c>
      <c r="D33" s="401">
        <v>0</v>
      </c>
      <c r="E33" s="386">
        <v>37</v>
      </c>
      <c r="F33" s="386">
        <v>25</v>
      </c>
      <c r="G33" s="401">
        <v>0</v>
      </c>
      <c r="H33" s="386">
        <v>27</v>
      </c>
    </row>
    <row r="34" spans="1:8" ht="11.25" customHeight="1">
      <c r="A34" s="374" t="s">
        <v>170</v>
      </c>
      <c r="B34" s="400">
        <v>1002</v>
      </c>
      <c r="C34" s="400">
        <f t="shared" si="0"/>
        <v>565</v>
      </c>
      <c r="D34" s="386">
        <v>390</v>
      </c>
      <c r="E34" s="386">
        <v>124</v>
      </c>
      <c r="F34" s="386">
        <v>8</v>
      </c>
      <c r="G34" s="386">
        <f>8+35</f>
        <v>43</v>
      </c>
      <c r="H34" s="386">
        <v>5</v>
      </c>
    </row>
    <row r="35" spans="1:8" ht="11.25" customHeight="1">
      <c r="A35" s="374" t="s">
        <v>171</v>
      </c>
      <c r="B35" s="400">
        <v>454</v>
      </c>
      <c r="C35" s="400">
        <f t="shared" si="0"/>
        <v>336</v>
      </c>
      <c r="D35" s="386">
        <v>86</v>
      </c>
      <c r="E35" s="386">
        <f>99+10</f>
        <v>109</v>
      </c>
      <c r="F35" s="386">
        <v>68</v>
      </c>
      <c r="G35" s="386">
        <f>20+53</f>
        <v>73</v>
      </c>
      <c r="H35" s="386">
        <f>62+25</f>
        <v>87</v>
      </c>
    </row>
    <row r="36" spans="1:8" ht="11.25" customHeight="1">
      <c r="A36" s="374" t="s">
        <v>172</v>
      </c>
      <c r="B36" s="351">
        <v>390</v>
      </c>
      <c r="C36" s="351">
        <f t="shared" si="0"/>
        <v>226</v>
      </c>
      <c r="D36" s="386">
        <v>89</v>
      </c>
      <c r="E36" s="386">
        <v>6</v>
      </c>
      <c r="F36" s="401">
        <v>0</v>
      </c>
      <c r="G36" s="386">
        <v>131</v>
      </c>
      <c r="H36" s="386">
        <v>44</v>
      </c>
    </row>
    <row r="37" spans="1:8" ht="11.25" customHeight="1">
      <c r="A37" s="406" t="s">
        <v>157</v>
      </c>
      <c r="B37" s="353">
        <v>626</v>
      </c>
      <c r="C37" s="385">
        <f t="shared" si="0"/>
        <v>936</v>
      </c>
      <c r="D37" s="386">
        <v>268</v>
      </c>
      <c r="E37" s="386">
        <f>E30-SUM(E31:E36)</f>
        <v>223</v>
      </c>
      <c r="F37" s="386">
        <f>F30-SUM(F31:F36)</f>
        <v>189</v>
      </c>
      <c r="G37" s="386">
        <f>G30-SUM(G31:G36)</f>
        <v>256</v>
      </c>
      <c r="H37" s="386">
        <f>H30-SUM(H31:H36)</f>
        <v>246</v>
      </c>
    </row>
    <row r="38" spans="1:8" ht="11.25" customHeight="1">
      <c r="A38" s="375" t="s">
        <v>140</v>
      </c>
      <c r="B38" s="349">
        <v>514</v>
      </c>
      <c r="C38" s="349">
        <f t="shared" si="0"/>
        <v>799</v>
      </c>
      <c r="D38" s="382">
        <v>110</v>
      </c>
      <c r="E38" s="382">
        <f>231+2</f>
        <v>233</v>
      </c>
      <c r="F38" s="382">
        <v>192</v>
      </c>
      <c r="G38" s="382">
        <f>236+28</f>
        <v>264</v>
      </c>
      <c r="H38" s="382">
        <f>105+8</f>
        <v>113</v>
      </c>
    </row>
    <row r="39" spans="1:8" s="408" customFormat="1" ht="11.25" customHeight="1">
      <c r="A39" s="374" t="s">
        <v>173</v>
      </c>
      <c r="B39" s="351">
        <v>13</v>
      </c>
      <c r="C39" s="351">
        <f t="shared" si="0"/>
        <v>41</v>
      </c>
      <c r="D39" s="401">
        <v>0</v>
      </c>
      <c r="E39" s="401">
        <v>0</v>
      </c>
      <c r="F39" s="407">
        <v>19</v>
      </c>
      <c r="G39" s="386">
        <f>0+22</f>
        <v>22</v>
      </c>
      <c r="H39" s="386">
        <v>5</v>
      </c>
    </row>
    <row r="40" spans="1:8" ht="11.25" customHeight="1">
      <c r="A40" s="374" t="s">
        <v>174</v>
      </c>
      <c r="B40" s="351">
        <v>481</v>
      </c>
      <c r="C40" s="351">
        <f t="shared" si="0"/>
        <v>265</v>
      </c>
      <c r="D40" s="386">
        <v>83</v>
      </c>
      <c r="E40" s="386">
        <f>63+1</f>
        <v>64</v>
      </c>
      <c r="F40" s="386">
        <v>75</v>
      </c>
      <c r="G40" s="386">
        <f>3+40</f>
        <v>43</v>
      </c>
      <c r="H40" s="386">
        <f>31+2</f>
        <v>33</v>
      </c>
    </row>
    <row r="41" spans="1:8" ht="11.25" customHeight="1">
      <c r="A41" s="374" t="s">
        <v>157</v>
      </c>
      <c r="B41" s="386">
        <v>20</v>
      </c>
      <c r="C41" s="386">
        <f t="shared" si="0"/>
        <v>493</v>
      </c>
      <c r="D41" s="386">
        <v>27</v>
      </c>
      <c r="E41" s="386">
        <f>E38-SUM(E39:E40)</f>
        <v>169</v>
      </c>
      <c r="F41" s="386">
        <f>F38-SUM(F39:F40)</f>
        <v>98</v>
      </c>
      <c r="G41" s="386">
        <f>G38-SUM(G39:G40)</f>
        <v>199</v>
      </c>
      <c r="H41" s="386">
        <f>H38-SUM(H39:H40)</f>
        <v>75</v>
      </c>
    </row>
    <row r="42" spans="1:8" ht="11.25" customHeight="1">
      <c r="A42" s="375" t="s">
        <v>143</v>
      </c>
      <c r="B42" s="349">
        <v>429</v>
      </c>
      <c r="C42" s="349">
        <f t="shared" si="0"/>
        <v>454</v>
      </c>
      <c r="D42" s="382">
        <v>80</v>
      </c>
      <c r="E42" s="382">
        <f>125+1</f>
        <v>126</v>
      </c>
      <c r="F42" s="382">
        <v>138</v>
      </c>
      <c r="G42" s="382">
        <f>56+54</f>
        <v>110</v>
      </c>
      <c r="H42" s="382">
        <f>50+44</f>
        <v>94</v>
      </c>
    </row>
    <row r="43" spans="1:8" ht="11.25" customHeight="1">
      <c r="A43" s="374" t="s">
        <v>175</v>
      </c>
      <c r="B43" s="351">
        <v>421</v>
      </c>
      <c r="C43" s="351">
        <f t="shared" si="0"/>
        <v>394</v>
      </c>
      <c r="D43" s="386">
        <v>78</v>
      </c>
      <c r="E43" s="386">
        <f>114+1</f>
        <v>115</v>
      </c>
      <c r="F43" s="386">
        <v>119</v>
      </c>
      <c r="G43" s="386">
        <f>28+54</f>
        <v>82</v>
      </c>
      <c r="H43" s="386">
        <f>43+22</f>
        <v>65</v>
      </c>
    </row>
    <row r="44" spans="1:8" ht="11.25" customHeight="1">
      <c r="A44" s="409" t="s">
        <v>157</v>
      </c>
      <c r="B44" s="410">
        <v>8</v>
      </c>
      <c r="C44" s="410">
        <f t="shared" si="0"/>
        <v>60</v>
      </c>
      <c r="D44" s="391">
        <f>D42-D43</f>
        <v>2</v>
      </c>
      <c r="E44" s="411">
        <f>E42-SUM(E43:E43)</f>
        <v>11</v>
      </c>
      <c r="F44" s="411">
        <f>F42-SUM(F43:F43)</f>
        <v>19</v>
      </c>
      <c r="G44" s="412">
        <f>G42-SUM(G43:G43)</f>
        <v>28</v>
      </c>
      <c r="H44" s="412">
        <f>H42-SUM(H43:H43)</f>
        <v>29</v>
      </c>
    </row>
    <row r="45" spans="1:4" ht="4.5" customHeight="1">
      <c r="A45" s="392"/>
      <c r="D45" s="413"/>
    </row>
    <row r="46" ht="12.75">
      <c r="A46" s="392" t="s">
        <v>182</v>
      </c>
    </row>
    <row r="47" ht="12.75">
      <c r="A47" s="213" t="s">
        <v>74</v>
      </c>
    </row>
    <row r="48" ht="12.75"/>
  </sheetData>
  <sheetProtection/>
  <mergeCells count="4">
    <mergeCell ref="A4:A5"/>
    <mergeCell ref="B4:B5"/>
    <mergeCell ref="D4:G4"/>
    <mergeCell ref="C4:C5"/>
  </mergeCells>
  <printOptions/>
  <pageMargins left="0.58" right="0.22" top="0.5" bottom="0.18" header="0.17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F4" sqref="F4:G4"/>
    </sheetView>
  </sheetViews>
  <sheetFormatPr defaultColWidth="9.140625" defaultRowHeight="12.75"/>
  <cols>
    <col min="1" max="1" width="40.8515625" style="79" customWidth="1"/>
    <col min="2" max="2" width="12.7109375" style="79" customWidth="1"/>
    <col min="3" max="3" width="3.7109375" style="79" customWidth="1"/>
    <col min="4" max="4" width="12.7109375" style="79" customWidth="1"/>
    <col min="5" max="5" width="3.7109375" style="79" customWidth="1"/>
    <col min="6" max="6" width="12.7109375" style="79" customWidth="1"/>
    <col min="7" max="7" width="3.7109375" style="79" customWidth="1"/>
    <col min="8" max="9" width="18.57421875" style="79" customWidth="1"/>
    <col min="10" max="10" width="10.421875" style="79" customWidth="1"/>
    <col min="11" max="16384" width="9.140625" style="79" customWidth="1"/>
  </cols>
  <sheetData>
    <row r="1" s="172" customFormat="1" ht="23.25" customHeight="1">
      <c r="A1" s="173" t="s">
        <v>187</v>
      </c>
    </row>
    <row r="2" ht="18.75" customHeight="1" thickBot="1">
      <c r="A2" s="80"/>
    </row>
    <row r="3" spans="1:9" ht="25.5" customHeight="1">
      <c r="A3" s="178"/>
      <c r="B3" s="249" t="s">
        <v>0</v>
      </c>
      <c r="C3" s="81"/>
      <c r="D3" s="81"/>
      <c r="E3" s="81"/>
      <c r="F3" s="82"/>
      <c r="G3" s="82"/>
      <c r="H3" s="271" t="s">
        <v>1</v>
      </c>
      <c r="I3" s="272"/>
    </row>
    <row r="4" spans="1:9" ht="33.75" customHeight="1" thickBot="1">
      <c r="A4" s="248" t="s">
        <v>2</v>
      </c>
      <c r="B4" s="615" t="s">
        <v>188</v>
      </c>
      <c r="C4" s="616"/>
      <c r="D4" s="617" t="s">
        <v>189</v>
      </c>
      <c r="E4" s="616"/>
      <c r="F4" s="617" t="s">
        <v>190</v>
      </c>
      <c r="G4" s="618"/>
      <c r="H4" s="268" t="s">
        <v>191</v>
      </c>
      <c r="I4" s="273" t="s">
        <v>192</v>
      </c>
    </row>
    <row r="5" spans="1:9" ht="25.5" customHeight="1">
      <c r="A5" s="179" t="s">
        <v>3</v>
      </c>
      <c r="B5" s="417">
        <v>16</v>
      </c>
      <c r="C5" s="164"/>
      <c r="D5" s="210">
        <v>25</v>
      </c>
      <c r="E5" s="35"/>
      <c r="F5" s="210">
        <v>27</v>
      </c>
      <c r="G5" s="250"/>
      <c r="H5" s="269">
        <f>F5-D5</f>
        <v>2</v>
      </c>
      <c r="I5" s="274">
        <f>F5-B5</f>
        <v>11</v>
      </c>
    </row>
    <row r="6" spans="1:9" ht="25.5" customHeight="1">
      <c r="A6" s="180" t="s">
        <v>4</v>
      </c>
      <c r="B6" s="417">
        <v>21</v>
      </c>
      <c r="C6" s="133"/>
      <c r="D6" s="210">
        <v>19</v>
      </c>
      <c r="E6" s="36"/>
      <c r="F6" s="210">
        <v>19</v>
      </c>
      <c r="G6" s="250"/>
      <c r="H6" s="270">
        <f>F6-D6</f>
        <v>0</v>
      </c>
      <c r="I6" s="275">
        <f>F6-B6</f>
        <v>-2</v>
      </c>
    </row>
    <row r="7" spans="1:9" ht="25.5" customHeight="1">
      <c r="A7" s="180" t="s">
        <v>5</v>
      </c>
      <c r="B7" s="417">
        <v>35</v>
      </c>
      <c r="C7" s="133"/>
      <c r="D7" s="210">
        <v>33</v>
      </c>
      <c r="E7" s="36"/>
      <c r="F7" s="210">
        <v>32</v>
      </c>
      <c r="G7" s="250"/>
      <c r="H7" s="270">
        <f>F7-D7</f>
        <v>-1</v>
      </c>
      <c r="I7" s="275">
        <f>F7-B7</f>
        <v>-3</v>
      </c>
    </row>
    <row r="8" spans="1:9" ht="25.5" customHeight="1">
      <c r="A8" s="180" t="s">
        <v>6</v>
      </c>
      <c r="B8" s="417">
        <v>174</v>
      </c>
      <c r="C8" s="133"/>
      <c r="D8" s="210">
        <v>169</v>
      </c>
      <c r="E8" s="36"/>
      <c r="F8" s="210">
        <v>165</v>
      </c>
      <c r="G8" s="250"/>
      <c r="H8" s="270">
        <f>F8-D8</f>
        <v>-4</v>
      </c>
      <c r="I8" s="275">
        <f>F8-B8</f>
        <v>-9</v>
      </c>
    </row>
    <row r="9" spans="1:9" ht="25.5" customHeight="1">
      <c r="A9" s="181" t="s">
        <v>7</v>
      </c>
      <c r="B9" s="418">
        <v>24</v>
      </c>
      <c r="C9" s="134"/>
      <c r="D9" s="211">
        <v>23</v>
      </c>
      <c r="E9" s="36"/>
      <c r="F9" s="211">
        <v>23</v>
      </c>
      <c r="G9" s="251"/>
      <c r="H9" s="286">
        <v>0</v>
      </c>
      <c r="I9" s="288">
        <v>1</v>
      </c>
    </row>
    <row r="10" spans="1:9" ht="25.5" customHeight="1">
      <c r="A10" s="181" t="s">
        <v>8</v>
      </c>
      <c r="B10" s="418">
        <v>150</v>
      </c>
      <c r="C10" s="134"/>
      <c r="D10" s="211">
        <v>146</v>
      </c>
      <c r="E10" s="36"/>
      <c r="F10" s="211">
        <v>142</v>
      </c>
      <c r="G10" s="251"/>
      <c r="H10" s="287">
        <v>4</v>
      </c>
      <c r="I10" s="288">
        <v>8</v>
      </c>
    </row>
    <row r="11" spans="1:9" ht="25.5" customHeight="1">
      <c r="A11" s="180" t="s">
        <v>9</v>
      </c>
      <c r="B11" s="417">
        <v>6</v>
      </c>
      <c r="C11" s="133"/>
      <c r="D11" s="210">
        <v>7</v>
      </c>
      <c r="E11" s="36"/>
      <c r="F11" s="210">
        <v>7</v>
      </c>
      <c r="G11" s="250"/>
      <c r="H11" s="270">
        <f aca="true" t="shared" si="0" ref="H11:H18">F11-D11</f>
        <v>0</v>
      </c>
      <c r="I11" s="275">
        <f aca="true" t="shared" si="1" ref="I11:I18">F11-B11</f>
        <v>1</v>
      </c>
    </row>
    <row r="12" spans="1:9" ht="25.5" customHeight="1">
      <c r="A12" s="180" t="s">
        <v>10</v>
      </c>
      <c r="B12" s="417">
        <v>13</v>
      </c>
      <c r="C12" s="133"/>
      <c r="D12" s="210">
        <v>13</v>
      </c>
      <c r="E12" s="36"/>
      <c r="F12" s="210">
        <v>13</v>
      </c>
      <c r="G12" s="250"/>
      <c r="H12" s="270">
        <f t="shared" si="0"/>
        <v>0</v>
      </c>
      <c r="I12" s="275">
        <f t="shared" si="1"/>
        <v>0</v>
      </c>
    </row>
    <row r="13" spans="1:9" ht="25.5" customHeight="1">
      <c r="A13" s="180" t="s">
        <v>11</v>
      </c>
      <c r="B13" s="417">
        <v>2</v>
      </c>
      <c r="C13" s="133"/>
      <c r="D13" s="210">
        <v>2</v>
      </c>
      <c r="E13" s="36"/>
      <c r="F13" s="210">
        <v>2</v>
      </c>
      <c r="G13" s="250"/>
      <c r="H13" s="270">
        <f t="shared" si="0"/>
        <v>0</v>
      </c>
      <c r="I13" s="275">
        <f t="shared" si="1"/>
        <v>0</v>
      </c>
    </row>
    <row r="14" spans="1:9" ht="25.5" customHeight="1">
      <c r="A14" s="180" t="s">
        <v>12</v>
      </c>
      <c r="B14" s="417">
        <v>5</v>
      </c>
      <c r="C14" s="133"/>
      <c r="D14" s="210">
        <v>5</v>
      </c>
      <c r="E14" s="36"/>
      <c r="F14" s="210">
        <v>5</v>
      </c>
      <c r="G14" s="250"/>
      <c r="H14" s="270">
        <f t="shared" si="0"/>
        <v>0</v>
      </c>
      <c r="I14" s="275">
        <f t="shared" si="1"/>
        <v>0</v>
      </c>
    </row>
    <row r="15" spans="1:9" ht="25.5" customHeight="1">
      <c r="A15" s="180" t="s">
        <v>13</v>
      </c>
      <c r="B15" s="417">
        <v>8</v>
      </c>
      <c r="C15" s="133"/>
      <c r="D15" s="210">
        <v>8</v>
      </c>
      <c r="E15" s="36"/>
      <c r="F15" s="210">
        <v>8</v>
      </c>
      <c r="G15" s="250"/>
      <c r="H15" s="270">
        <f t="shared" si="0"/>
        <v>0</v>
      </c>
      <c r="I15" s="275">
        <f t="shared" si="1"/>
        <v>0</v>
      </c>
    </row>
    <row r="16" spans="1:9" ht="25.5" customHeight="1">
      <c r="A16" s="180" t="s">
        <v>14</v>
      </c>
      <c r="B16" s="417">
        <v>39</v>
      </c>
      <c r="C16" s="133"/>
      <c r="D16" s="210">
        <v>42</v>
      </c>
      <c r="E16" s="36"/>
      <c r="F16" s="210">
        <v>40</v>
      </c>
      <c r="G16" s="250"/>
      <c r="H16" s="270">
        <f t="shared" si="0"/>
        <v>-2</v>
      </c>
      <c r="I16" s="275">
        <f t="shared" si="1"/>
        <v>1</v>
      </c>
    </row>
    <row r="17" spans="1:9" ht="25.5" customHeight="1">
      <c r="A17" s="180" t="s">
        <v>15</v>
      </c>
      <c r="B17" s="417">
        <v>4</v>
      </c>
      <c r="C17" s="133"/>
      <c r="D17" s="210">
        <v>3</v>
      </c>
      <c r="E17" s="36"/>
      <c r="F17" s="210">
        <v>3</v>
      </c>
      <c r="G17" s="250"/>
      <c r="H17" s="270">
        <f t="shared" si="0"/>
        <v>0</v>
      </c>
      <c r="I17" s="275">
        <f t="shared" si="1"/>
        <v>-1</v>
      </c>
    </row>
    <row r="18" spans="1:9" ht="25.5" customHeight="1">
      <c r="A18" s="180" t="s">
        <v>16</v>
      </c>
      <c r="B18" s="417">
        <v>79</v>
      </c>
      <c r="C18" s="133"/>
      <c r="D18" s="210">
        <v>86</v>
      </c>
      <c r="E18" s="36"/>
      <c r="F18" s="210">
        <v>85</v>
      </c>
      <c r="G18" s="250"/>
      <c r="H18" s="270">
        <f t="shared" si="0"/>
        <v>-1</v>
      </c>
      <c r="I18" s="275">
        <f t="shared" si="1"/>
        <v>6</v>
      </c>
    </row>
    <row r="19" spans="1:9" ht="6.75" customHeight="1" thickBot="1">
      <c r="A19" s="181"/>
      <c r="B19" s="417"/>
      <c r="C19" s="133"/>
      <c r="D19" s="210"/>
      <c r="E19" s="36"/>
      <c r="F19" s="210"/>
      <c r="G19" s="250"/>
      <c r="H19" s="270"/>
      <c r="I19" s="275"/>
    </row>
    <row r="20" spans="1:9" ht="47.25" customHeight="1" thickBot="1">
      <c r="A20" s="182" t="s">
        <v>17</v>
      </c>
      <c r="B20" s="419">
        <v>402</v>
      </c>
      <c r="C20" s="280"/>
      <c r="D20" s="298">
        <v>412</v>
      </c>
      <c r="E20" s="299"/>
      <c r="F20" s="300">
        <f>SUM(F5:F8,F11:F18)</f>
        <v>406</v>
      </c>
      <c r="G20" s="278"/>
      <c r="H20" s="301">
        <f>F20-D20</f>
        <v>-6</v>
      </c>
      <c r="I20" s="302">
        <f>F20-B20</f>
        <v>4</v>
      </c>
    </row>
    <row r="22" ht="12.75">
      <c r="A22" s="213" t="s">
        <v>74</v>
      </c>
    </row>
    <row r="26" ht="12.75">
      <c r="E26" s="243"/>
    </row>
  </sheetData>
  <sheetProtection/>
  <mergeCells count="3">
    <mergeCell ref="B4:C4"/>
    <mergeCell ref="D4:E4"/>
    <mergeCell ref="F4:G4"/>
  </mergeCells>
  <printOptions horizontalCentered="1" verticalCentered="1"/>
  <pageMargins left="0.7480314960629921" right="0" top="0.2362204724409449" bottom="0.35433070866141736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4">
      <pane xSplit="1" ySplit="2" topLeftCell="B6" activePane="bottomRight" state="frozen"/>
      <selection pane="topLeft" activeCell="A4" sqref="A4"/>
      <selection pane="topRight" activeCell="B4" sqref="B4"/>
      <selection pane="bottomLeft" activeCell="A6" sqref="A6"/>
      <selection pane="bottomRight" activeCell="N17" sqref="N17"/>
    </sheetView>
  </sheetViews>
  <sheetFormatPr defaultColWidth="9.140625" defaultRowHeight="12.75"/>
  <cols>
    <col min="1" max="1" width="33.57421875" style="5" customWidth="1"/>
    <col min="2" max="2" width="9.28125" style="5" customWidth="1"/>
    <col min="3" max="3" width="3.140625" style="5" customWidth="1"/>
    <col min="4" max="4" width="9.28125" style="5" customWidth="1"/>
    <col min="5" max="5" width="3.140625" style="5" customWidth="1"/>
    <col min="6" max="6" width="9.28125" style="5" customWidth="1"/>
    <col min="7" max="7" width="3.140625" style="5" customWidth="1"/>
    <col min="8" max="8" width="9.28125" style="5" customWidth="1"/>
    <col min="9" max="9" width="3.140625" style="5" customWidth="1"/>
    <col min="10" max="10" width="9.28125" style="5" customWidth="1"/>
    <col min="11" max="11" width="3.140625" style="5" customWidth="1"/>
    <col min="12" max="12" width="9.28125" style="5" customWidth="1"/>
    <col min="13" max="13" width="3.140625" style="5" customWidth="1"/>
    <col min="14" max="14" width="9.28125" style="5" customWidth="1"/>
    <col min="15" max="15" width="3.140625" style="5" customWidth="1"/>
    <col min="16" max="16" width="9.28125" style="5" customWidth="1"/>
    <col min="17" max="17" width="3.140625" style="5" customWidth="1"/>
    <col min="18" max="16384" width="9.140625" style="5" customWidth="1"/>
  </cols>
  <sheetData>
    <row r="1" s="4" customFormat="1" ht="15.75">
      <c r="A1" s="3" t="s">
        <v>194</v>
      </c>
    </row>
    <row r="2" ht="15.75" customHeight="1" thickBot="1"/>
    <row r="3" spans="1:17" ht="29.25" customHeight="1" thickBot="1">
      <c r="A3" s="183" t="s">
        <v>18</v>
      </c>
      <c r="B3" s="254" t="s">
        <v>193</v>
      </c>
      <c r="C3" s="6"/>
      <c r="D3" s="7"/>
      <c r="E3" s="7"/>
      <c r="F3" s="7"/>
      <c r="G3" s="7"/>
      <c r="H3" s="7"/>
      <c r="I3" s="8"/>
      <c r="J3" s="6" t="s">
        <v>195</v>
      </c>
      <c r="K3" s="6"/>
      <c r="L3" s="7"/>
      <c r="M3" s="7"/>
      <c r="N3" s="7"/>
      <c r="O3" s="7"/>
      <c r="P3" s="7"/>
      <c r="Q3" s="8"/>
    </row>
    <row r="4" spans="1:18" ht="29.25" customHeight="1" thickBot="1">
      <c r="A4" s="184" t="s">
        <v>35</v>
      </c>
      <c r="B4" s="9" t="s">
        <v>36</v>
      </c>
      <c r="C4" s="10"/>
      <c r="D4" s="10"/>
      <c r="E4" s="10"/>
      <c r="F4" s="9" t="s">
        <v>37</v>
      </c>
      <c r="G4" s="10"/>
      <c r="H4" s="10"/>
      <c r="I4" s="11"/>
      <c r="J4" s="10" t="s">
        <v>36</v>
      </c>
      <c r="K4" s="10"/>
      <c r="L4" s="10"/>
      <c r="M4" s="10"/>
      <c r="N4" s="9" t="s">
        <v>37</v>
      </c>
      <c r="O4" s="10"/>
      <c r="P4" s="10"/>
      <c r="Q4" s="11"/>
      <c r="R4" s="12"/>
    </row>
    <row r="5" spans="1:17" ht="29.25" customHeight="1" thickBot="1">
      <c r="A5" s="185"/>
      <c r="B5" s="255" t="s">
        <v>38</v>
      </c>
      <c r="C5" s="13"/>
      <c r="D5" s="14" t="s">
        <v>39</v>
      </c>
      <c r="E5" s="15"/>
      <c r="F5" s="16" t="s">
        <v>38</v>
      </c>
      <c r="G5" s="13"/>
      <c r="H5" s="14" t="s">
        <v>39</v>
      </c>
      <c r="I5" s="15"/>
      <c r="J5" s="13" t="s">
        <v>38</v>
      </c>
      <c r="K5" s="13"/>
      <c r="L5" s="14" t="s">
        <v>39</v>
      </c>
      <c r="M5" s="15"/>
      <c r="N5" s="16" t="s">
        <v>38</v>
      </c>
      <c r="O5" s="13"/>
      <c r="P5" s="14" t="s">
        <v>39</v>
      </c>
      <c r="Q5" s="15"/>
    </row>
    <row r="6" spans="1:17" ht="23.25" customHeight="1">
      <c r="A6" s="186" t="s">
        <v>3</v>
      </c>
      <c r="B6" s="420">
        <v>9</v>
      </c>
      <c r="C6" s="416"/>
      <c r="D6" s="17">
        <v>313</v>
      </c>
      <c r="E6" s="28"/>
      <c r="F6" s="17" t="s">
        <v>40</v>
      </c>
      <c r="G6" s="27"/>
      <c r="H6" s="17" t="s">
        <v>40</v>
      </c>
      <c r="I6" s="18"/>
      <c r="J6" s="253">
        <v>2</v>
      </c>
      <c r="K6" s="27"/>
      <c r="L6" s="17">
        <v>9</v>
      </c>
      <c r="M6" s="28"/>
      <c r="N6" s="17" t="s">
        <v>40</v>
      </c>
      <c r="O6" s="27"/>
      <c r="P6" s="17" t="s">
        <v>40</v>
      </c>
      <c r="Q6" s="18"/>
    </row>
    <row r="7" spans="1:17" ht="23.25" customHeight="1">
      <c r="A7" s="187" t="s">
        <v>4</v>
      </c>
      <c r="B7" s="421" t="s">
        <v>40</v>
      </c>
      <c r="C7" s="27"/>
      <c r="D7" s="17" t="s">
        <v>40</v>
      </c>
      <c r="E7" s="28"/>
      <c r="F7" s="17">
        <v>3</v>
      </c>
      <c r="G7" s="27"/>
      <c r="H7" s="17">
        <v>20</v>
      </c>
      <c r="I7" s="18"/>
      <c r="J7" s="17" t="s">
        <v>40</v>
      </c>
      <c r="K7" s="27"/>
      <c r="L7" s="17" t="s">
        <v>40</v>
      </c>
      <c r="M7" s="28"/>
      <c r="N7" s="17" t="s">
        <v>40</v>
      </c>
      <c r="O7" s="27"/>
      <c r="P7" s="17" t="s">
        <v>40</v>
      </c>
      <c r="Q7" s="18"/>
    </row>
    <row r="8" spans="1:17" ht="23.25" customHeight="1">
      <c r="A8" s="187" t="s">
        <v>5</v>
      </c>
      <c r="B8" s="421">
        <v>1</v>
      </c>
      <c r="C8" s="27"/>
      <c r="D8" s="17">
        <v>822</v>
      </c>
      <c r="E8" s="28"/>
      <c r="F8" s="17">
        <v>3</v>
      </c>
      <c r="G8" s="27"/>
      <c r="H8" s="17">
        <v>858</v>
      </c>
      <c r="I8" s="18"/>
      <c r="J8" s="17" t="s">
        <v>40</v>
      </c>
      <c r="K8" s="27"/>
      <c r="L8" s="17" t="s">
        <v>40</v>
      </c>
      <c r="M8" s="28"/>
      <c r="N8" s="17">
        <v>1</v>
      </c>
      <c r="O8" s="27"/>
      <c r="P8" s="17">
        <v>468</v>
      </c>
      <c r="Q8" s="18"/>
    </row>
    <row r="9" spans="1:17" ht="23.25" customHeight="1">
      <c r="A9" s="187" t="s">
        <v>6</v>
      </c>
      <c r="B9" s="421">
        <v>7</v>
      </c>
      <c r="C9" s="27"/>
      <c r="D9" s="17">
        <v>457</v>
      </c>
      <c r="E9" s="28"/>
      <c r="F9" s="17">
        <v>15</v>
      </c>
      <c r="G9" s="27"/>
      <c r="H9" s="17">
        <v>1878</v>
      </c>
      <c r="I9" s="18"/>
      <c r="J9" s="17">
        <v>1</v>
      </c>
      <c r="K9" s="27"/>
      <c r="L9" s="17">
        <v>3</v>
      </c>
      <c r="M9" s="28"/>
      <c r="N9" s="17">
        <v>5</v>
      </c>
      <c r="O9" s="27"/>
      <c r="P9" s="17">
        <v>1622</v>
      </c>
      <c r="Q9" s="18"/>
    </row>
    <row r="10" spans="1:17" ht="19.5" customHeight="1">
      <c r="A10" s="188" t="s">
        <v>41</v>
      </c>
      <c r="B10" s="422">
        <v>0</v>
      </c>
      <c r="C10" s="140"/>
      <c r="D10" s="19">
        <v>0</v>
      </c>
      <c r="E10" s="141"/>
      <c r="F10" s="19">
        <v>0</v>
      </c>
      <c r="G10" s="27"/>
      <c r="H10" s="19">
        <v>0</v>
      </c>
      <c r="I10" s="18"/>
      <c r="J10" s="19">
        <v>0</v>
      </c>
      <c r="K10" s="140"/>
      <c r="L10" s="19">
        <v>0</v>
      </c>
      <c r="M10" s="141"/>
      <c r="N10" s="237">
        <v>0</v>
      </c>
      <c r="O10" s="27"/>
      <c r="P10" s="19">
        <v>0</v>
      </c>
      <c r="Q10" s="18"/>
    </row>
    <row r="11" spans="1:17" ht="19.5" customHeight="1">
      <c r="A11" s="188" t="s">
        <v>42</v>
      </c>
      <c r="B11" s="422">
        <v>7</v>
      </c>
      <c r="C11" s="143"/>
      <c r="D11" s="142">
        <v>457</v>
      </c>
      <c r="E11" s="144"/>
      <c r="F11" s="142">
        <v>15</v>
      </c>
      <c r="G11" s="143"/>
      <c r="H11" s="142">
        <v>1878</v>
      </c>
      <c r="I11" s="20"/>
      <c r="J11" s="142">
        <v>1</v>
      </c>
      <c r="K11" s="143"/>
      <c r="L11" s="142">
        <v>3</v>
      </c>
      <c r="M11" s="144"/>
      <c r="N11" s="142">
        <v>5</v>
      </c>
      <c r="O11" s="143"/>
      <c r="P11" s="142">
        <v>1622</v>
      </c>
      <c r="Q11" s="20"/>
    </row>
    <row r="12" spans="1:17" ht="23.25" customHeight="1">
      <c r="A12" s="187" t="s">
        <v>9</v>
      </c>
      <c r="B12" s="421">
        <v>2</v>
      </c>
      <c r="C12" s="27"/>
      <c r="D12" s="17">
        <v>154</v>
      </c>
      <c r="E12" s="28"/>
      <c r="F12" s="17">
        <v>1</v>
      </c>
      <c r="G12" s="27"/>
      <c r="H12" s="17">
        <v>1</v>
      </c>
      <c r="I12" s="18"/>
      <c r="J12" s="17" t="s">
        <v>40</v>
      </c>
      <c r="K12" s="27"/>
      <c r="L12" s="17" t="s">
        <v>40</v>
      </c>
      <c r="M12" s="28"/>
      <c r="N12" s="17" t="s">
        <v>40</v>
      </c>
      <c r="O12" s="27"/>
      <c r="P12" s="17" t="s">
        <v>40</v>
      </c>
      <c r="Q12" s="18"/>
    </row>
    <row r="13" spans="1:17" ht="23.25" customHeight="1">
      <c r="A13" s="187" t="s">
        <v>10</v>
      </c>
      <c r="B13" s="421" t="s">
        <v>40</v>
      </c>
      <c r="C13" s="27"/>
      <c r="D13" s="17" t="s">
        <v>40</v>
      </c>
      <c r="E13" s="28"/>
      <c r="F13" s="17">
        <v>2</v>
      </c>
      <c r="G13" s="27"/>
      <c r="H13" s="17">
        <v>2</v>
      </c>
      <c r="I13" s="18"/>
      <c r="J13" s="17" t="s">
        <v>40</v>
      </c>
      <c r="K13" s="27"/>
      <c r="L13" s="17" t="s">
        <v>40</v>
      </c>
      <c r="M13" s="28"/>
      <c r="N13" s="17" t="s">
        <v>40</v>
      </c>
      <c r="O13" s="27"/>
      <c r="P13" s="17" t="s">
        <v>40</v>
      </c>
      <c r="Q13" s="18"/>
    </row>
    <row r="14" spans="1:17" ht="23.25" customHeight="1">
      <c r="A14" s="187" t="s">
        <v>11</v>
      </c>
      <c r="B14" s="421" t="s">
        <v>40</v>
      </c>
      <c r="C14" s="27"/>
      <c r="D14" s="17" t="s">
        <v>40</v>
      </c>
      <c r="E14" s="28"/>
      <c r="F14" s="17" t="s">
        <v>40</v>
      </c>
      <c r="G14" s="27"/>
      <c r="H14" s="17" t="s">
        <v>40</v>
      </c>
      <c r="I14" s="18"/>
      <c r="J14" s="17" t="s">
        <v>40</v>
      </c>
      <c r="K14" s="27"/>
      <c r="L14" s="17" t="s">
        <v>40</v>
      </c>
      <c r="M14" s="28"/>
      <c r="N14" s="17" t="s">
        <v>40</v>
      </c>
      <c r="O14" s="27"/>
      <c r="P14" s="17" t="s">
        <v>40</v>
      </c>
      <c r="Q14" s="18"/>
    </row>
    <row r="15" spans="1:17" ht="23.25" customHeight="1">
      <c r="A15" s="187" t="s">
        <v>12</v>
      </c>
      <c r="B15" s="421" t="s">
        <v>40</v>
      </c>
      <c r="C15" s="27"/>
      <c r="D15" s="17" t="s">
        <v>40</v>
      </c>
      <c r="E15" s="28"/>
      <c r="F15" s="17" t="s">
        <v>40</v>
      </c>
      <c r="G15" s="27"/>
      <c r="H15" s="17" t="s">
        <v>40</v>
      </c>
      <c r="I15" s="18"/>
      <c r="J15" s="17" t="s">
        <v>40</v>
      </c>
      <c r="K15" s="27"/>
      <c r="L15" s="17" t="s">
        <v>40</v>
      </c>
      <c r="M15" s="28"/>
      <c r="N15" s="17" t="s">
        <v>40</v>
      </c>
      <c r="O15" s="27"/>
      <c r="P15" s="17" t="s">
        <v>40</v>
      </c>
      <c r="Q15" s="18"/>
    </row>
    <row r="16" spans="1:17" ht="23.25" customHeight="1">
      <c r="A16" s="187" t="s">
        <v>13</v>
      </c>
      <c r="B16" s="421">
        <v>1</v>
      </c>
      <c r="C16" s="27"/>
      <c r="D16" s="17">
        <v>7</v>
      </c>
      <c r="E16" s="28"/>
      <c r="F16" s="17" t="s">
        <v>40</v>
      </c>
      <c r="G16" s="27"/>
      <c r="H16" s="17" t="s">
        <v>40</v>
      </c>
      <c r="I16" s="18"/>
      <c r="J16" s="17" t="s">
        <v>40</v>
      </c>
      <c r="K16" s="27"/>
      <c r="L16" s="17" t="s">
        <v>40</v>
      </c>
      <c r="M16" s="28"/>
      <c r="N16" s="17" t="s">
        <v>40</v>
      </c>
      <c r="O16" s="27"/>
      <c r="P16" s="17" t="s">
        <v>40</v>
      </c>
      <c r="Q16" s="18"/>
    </row>
    <row r="17" spans="1:17" ht="23.25" customHeight="1">
      <c r="A17" s="187" t="s">
        <v>14</v>
      </c>
      <c r="B17" s="421">
        <v>11</v>
      </c>
      <c r="C17" s="27"/>
      <c r="D17" s="17">
        <v>656</v>
      </c>
      <c r="E17" s="28"/>
      <c r="F17" s="17">
        <v>4</v>
      </c>
      <c r="G17" s="27"/>
      <c r="H17" s="17">
        <v>142</v>
      </c>
      <c r="I17" s="18"/>
      <c r="J17" s="17">
        <v>2</v>
      </c>
      <c r="K17" s="27"/>
      <c r="L17" s="17">
        <v>116</v>
      </c>
      <c r="M17" s="28"/>
      <c r="N17" s="17">
        <v>4</v>
      </c>
      <c r="O17" s="27"/>
      <c r="P17" s="17">
        <v>134</v>
      </c>
      <c r="Q17" s="18"/>
    </row>
    <row r="18" spans="1:17" ht="23.25" customHeight="1">
      <c r="A18" s="187" t="s">
        <v>15</v>
      </c>
      <c r="B18" s="421" t="s">
        <v>40</v>
      </c>
      <c r="C18" s="27"/>
      <c r="D18" s="17" t="s">
        <v>40</v>
      </c>
      <c r="E18" s="28"/>
      <c r="F18" s="17">
        <v>1</v>
      </c>
      <c r="G18" s="27"/>
      <c r="H18" s="17">
        <v>95</v>
      </c>
      <c r="I18" s="18"/>
      <c r="J18" s="17" t="s">
        <v>40</v>
      </c>
      <c r="K18" s="27"/>
      <c r="L18" s="17" t="s">
        <v>40</v>
      </c>
      <c r="M18" s="28"/>
      <c r="N18" s="17" t="s">
        <v>40</v>
      </c>
      <c r="O18" s="27"/>
      <c r="P18" s="17" t="s">
        <v>40</v>
      </c>
      <c r="Q18" s="18"/>
    </row>
    <row r="19" spans="1:17" ht="23.25" customHeight="1">
      <c r="A19" s="187" t="s">
        <v>16</v>
      </c>
      <c r="B19" s="421">
        <v>12</v>
      </c>
      <c r="C19" s="27"/>
      <c r="D19" s="17">
        <v>284</v>
      </c>
      <c r="E19" s="28"/>
      <c r="F19" s="17">
        <v>6</v>
      </c>
      <c r="G19" s="27"/>
      <c r="H19" s="17">
        <v>14</v>
      </c>
      <c r="I19" s="28"/>
      <c r="J19" s="17">
        <v>1</v>
      </c>
      <c r="K19" s="27"/>
      <c r="L19" s="17">
        <v>2</v>
      </c>
      <c r="M19" s="28"/>
      <c r="N19" s="17">
        <v>2</v>
      </c>
      <c r="O19" s="27"/>
      <c r="P19" s="17">
        <v>34</v>
      </c>
      <c r="Q19" s="28"/>
    </row>
    <row r="20" spans="1:17" ht="7.5" customHeight="1" thickBot="1">
      <c r="A20" s="187"/>
      <c r="B20" s="423"/>
      <c r="C20" s="27"/>
      <c r="D20" s="21"/>
      <c r="E20" s="28"/>
      <c r="F20" s="21"/>
      <c r="G20" s="27"/>
      <c r="H20" s="21"/>
      <c r="I20" s="18"/>
      <c r="J20" s="21"/>
      <c r="K20" s="27"/>
      <c r="L20" s="21"/>
      <c r="M20" s="28"/>
      <c r="N20" s="21"/>
      <c r="O20" s="27"/>
      <c r="P20" s="21"/>
      <c r="Q20" s="18"/>
    </row>
    <row r="21" spans="1:17" s="4" customFormat="1" ht="50.25" customHeight="1" thickBot="1">
      <c r="A21" s="252" t="s">
        <v>17</v>
      </c>
      <c r="B21" s="424">
        <f>SUM(B12:B19,B6:B9)</f>
        <v>43</v>
      </c>
      <c r="C21" s="146"/>
      <c r="D21" s="145">
        <f>SUM(D12:D19,D6:D9)</f>
        <v>2693</v>
      </c>
      <c r="E21" s="147"/>
      <c r="F21" s="145">
        <f>SUM(F12:F19,F6:F9)</f>
        <v>35</v>
      </c>
      <c r="G21" s="146"/>
      <c r="H21" s="145">
        <f>SUM(H12:H19,H6:H9)</f>
        <v>3010</v>
      </c>
      <c r="I21" s="22"/>
      <c r="J21" s="146">
        <f>SUM(J6:J9,J12:J19)</f>
        <v>6</v>
      </c>
      <c r="K21" s="146"/>
      <c r="L21" s="145">
        <f>SUM(L6:L9,L12:L19)</f>
        <v>130</v>
      </c>
      <c r="M21" s="147"/>
      <c r="N21" s="146">
        <f>SUM(N6:N9,N12:N19)</f>
        <v>12</v>
      </c>
      <c r="O21" s="146"/>
      <c r="P21" s="145">
        <f>SUM(P6:P9,P12:P19)</f>
        <v>2258</v>
      </c>
      <c r="Q21" s="22"/>
    </row>
    <row r="23" ht="12.75">
      <c r="A23" s="213" t="s">
        <v>74</v>
      </c>
    </row>
    <row r="24" ht="12.75">
      <c r="L24"/>
    </row>
  </sheetData>
  <sheetProtection/>
  <printOptions horizontalCentered="1" verticalCentered="1"/>
  <pageMargins left="0.3937007874015748" right="0" top="0.4330708661417323" bottom="0.35433070866141736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Y15"/>
  <sheetViews>
    <sheetView zoomScale="97" zoomScaleNormal="97" zoomScalePageLayoutView="0" workbookViewId="0" topLeftCell="A1">
      <selection activeCell="A5" sqref="A5:A7"/>
    </sheetView>
  </sheetViews>
  <sheetFormatPr defaultColWidth="9.140625" defaultRowHeight="12.75"/>
  <cols>
    <col min="1" max="1" width="20.00390625" style="102" customWidth="1"/>
    <col min="2" max="2" width="7.7109375" style="102" customWidth="1"/>
    <col min="3" max="3" width="1.7109375" style="102" customWidth="1"/>
    <col min="4" max="4" width="7.7109375" style="102" customWidth="1"/>
    <col min="5" max="5" width="1.7109375" style="102" customWidth="1"/>
    <col min="6" max="6" width="7.7109375" style="102" customWidth="1"/>
    <col min="7" max="7" width="1.7109375" style="102" customWidth="1"/>
    <col min="8" max="8" width="7.7109375" style="102" customWidth="1"/>
    <col min="9" max="9" width="1.7109375" style="102" customWidth="1"/>
    <col min="10" max="10" width="7.8515625" style="102" customWidth="1"/>
    <col min="11" max="11" width="1.7109375" style="102" customWidth="1"/>
    <col min="12" max="12" width="7.7109375" style="102" customWidth="1"/>
    <col min="13" max="13" width="1.7109375" style="102" customWidth="1"/>
    <col min="14" max="14" width="7.7109375" style="102" customWidth="1"/>
    <col min="15" max="15" width="1.7109375" style="102" customWidth="1"/>
    <col min="16" max="16" width="8.00390625" style="102" customWidth="1"/>
    <col min="17" max="17" width="1.7109375" style="102" customWidth="1"/>
    <col min="18" max="18" width="7.7109375" style="102" customWidth="1"/>
    <col min="19" max="19" width="1.7109375" style="102" customWidth="1"/>
    <col min="20" max="20" width="7.7109375" style="102" customWidth="1"/>
    <col min="21" max="21" width="1.7109375" style="102" customWidth="1"/>
    <col min="22" max="22" width="7.7109375" style="102" customWidth="1"/>
    <col min="23" max="23" width="1.7109375" style="102" customWidth="1"/>
    <col min="24" max="24" width="7.7109375" style="102" customWidth="1"/>
    <col min="25" max="25" width="1.7109375" style="102" customWidth="1"/>
    <col min="26" max="16384" width="9.140625" style="102" customWidth="1"/>
  </cols>
  <sheetData>
    <row r="2" spans="1:13" s="100" customFormat="1" ht="28.5" customHeight="1">
      <c r="A2" s="98" t="s">
        <v>196</v>
      </c>
      <c r="B2" s="98"/>
      <c r="C2" s="98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2.75">
      <c r="A3" s="101" t="s">
        <v>43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15.75" customHeight="1" thickBo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spans="1:25" ht="36" customHeight="1" thickBot="1">
      <c r="A5" s="619" t="s">
        <v>44</v>
      </c>
      <c r="B5" s="628" t="s">
        <v>38</v>
      </c>
      <c r="C5" s="629"/>
      <c r="D5" s="629"/>
      <c r="E5" s="629"/>
      <c r="F5" s="629"/>
      <c r="G5" s="630"/>
      <c r="H5" s="103" t="s">
        <v>67</v>
      </c>
      <c r="I5" s="103"/>
      <c r="J5" s="104"/>
      <c r="K5" s="104"/>
      <c r="L5" s="104"/>
      <c r="M5" s="104"/>
      <c r="N5" s="104"/>
      <c r="O5" s="104"/>
      <c r="P5" s="104"/>
      <c r="Q5" s="104"/>
      <c r="R5" s="103"/>
      <c r="S5" s="103"/>
      <c r="T5" s="105"/>
      <c r="U5" s="105"/>
      <c r="V5" s="105"/>
      <c r="W5" s="105"/>
      <c r="X5" s="105"/>
      <c r="Y5" s="106"/>
    </row>
    <row r="6" spans="1:25" ht="31.5" customHeight="1">
      <c r="A6" s="620"/>
      <c r="B6" s="622" t="s">
        <v>45</v>
      </c>
      <c r="C6" s="623"/>
      <c r="D6" s="623"/>
      <c r="E6" s="623"/>
      <c r="F6" s="623"/>
      <c r="G6" s="624"/>
      <c r="H6" s="107" t="s">
        <v>75</v>
      </c>
      <c r="I6" s="107"/>
      <c r="J6" s="107"/>
      <c r="K6" s="107"/>
      <c r="L6" s="104"/>
      <c r="M6" s="163"/>
      <c r="N6" s="625" t="s">
        <v>200</v>
      </c>
      <c r="O6" s="626"/>
      <c r="P6" s="626"/>
      <c r="Q6" s="626"/>
      <c r="R6" s="626"/>
      <c r="S6" s="627"/>
      <c r="T6" s="107" t="s">
        <v>201</v>
      </c>
      <c r="U6" s="107"/>
      <c r="V6" s="107"/>
      <c r="W6" s="107"/>
      <c r="X6" s="104"/>
      <c r="Y6" s="108"/>
    </row>
    <row r="7" spans="1:25" ht="38.25" customHeight="1" thickBot="1">
      <c r="A7" s="621"/>
      <c r="B7" s="263" t="s">
        <v>197</v>
      </c>
      <c r="C7" s="110"/>
      <c r="D7" s="212" t="s">
        <v>198</v>
      </c>
      <c r="E7" s="212"/>
      <c r="F7" s="212" t="s">
        <v>199</v>
      </c>
      <c r="G7" s="256"/>
      <c r="H7" s="110" t="s">
        <v>46</v>
      </c>
      <c r="I7" s="110"/>
      <c r="J7" s="111" t="s">
        <v>47</v>
      </c>
      <c r="K7" s="112"/>
      <c r="L7" s="112" t="s">
        <v>48</v>
      </c>
      <c r="M7" s="113"/>
      <c r="N7" s="263" t="s">
        <v>46</v>
      </c>
      <c r="O7" s="110"/>
      <c r="P7" s="111" t="s">
        <v>47</v>
      </c>
      <c r="Q7" s="112"/>
      <c r="R7" s="109" t="s">
        <v>48</v>
      </c>
      <c r="S7" s="264"/>
      <c r="T7" s="110" t="s">
        <v>46</v>
      </c>
      <c r="U7" s="110"/>
      <c r="V7" s="111" t="s">
        <v>47</v>
      </c>
      <c r="W7" s="112"/>
      <c r="X7" s="112" t="s">
        <v>48</v>
      </c>
      <c r="Y7" s="114"/>
    </row>
    <row r="8" spans="1:25" ht="71.25" customHeight="1">
      <c r="A8" s="190" t="s">
        <v>49</v>
      </c>
      <c r="B8" s="257">
        <v>86</v>
      </c>
      <c r="C8" s="204"/>
      <c r="D8" s="30">
        <v>102</v>
      </c>
      <c r="E8" s="31"/>
      <c r="F8" s="30">
        <v>110</v>
      </c>
      <c r="G8" s="258"/>
      <c r="H8" s="29">
        <v>187</v>
      </c>
      <c r="I8" s="29"/>
      <c r="J8" s="32">
        <v>146</v>
      </c>
      <c r="K8" s="29"/>
      <c r="L8" s="30">
        <v>333</v>
      </c>
      <c r="M8" s="37"/>
      <c r="N8" s="257">
        <v>206</v>
      </c>
      <c r="O8" s="29"/>
      <c r="P8" s="32">
        <v>181</v>
      </c>
      <c r="Q8" s="29"/>
      <c r="R8" s="30">
        <v>387</v>
      </c>
      <c r="S8" s="265"/>
      <c r="T8" s="29">
        <f>238-12</f>
        <v>226</v>
      </c>
      <c r="U8" s="29"/>
      <c r="V8" s="32">
        <f>165-0</f>
        <v>165</v>
      </c>
      <c r="W8" s="29"/>
      <c r="X8" s="30">
        <f>403-12</f>
        <v>391</v>
      </c>
      <c r="Y8" s="108"/>
    </row>
    <row r="9" spans="1:25" ht="71.25" customHeight="1">
      <c r="A9" s="191" t="s">
        <v>66</v>
      </c>
      <c r="B9" s="257">
        <v>316</v>
      </c>
      <c r="C9" s="204"/>
      <c r="D9" s="30">
        <v>310</v>
      </c>
      <c r="E9" s="31"/>
      <c r="F9" s="30">
        <v>296</v>
      </c>
      <c r="G9" s="258"/>
      <c r="H9" s="29">
        <v>26974</v>
      </c>
      <c r="I9" s="29"/>
      <c r="J9" s="30">
        <v>39325</v>
      </c>
      <c r="K9" s="29"/>
      <c r="L9" s="30">
        <v>66299</v>
      </c>
      <c r="M9" s="29"/>
      <c r="N9" s="257">
        <v>25618</v>
      </c>
      <c r="O9" s="29"/>
      <c r="P9" s="30">
        <v>35824</v>
      </c>
      <c r="Q9" s="29"/>
      <c r="R9" s="30">
        <v>61442</v>
      </c>
      <c r="S9" s="258"/>
      <c r="T9" s="29">
        <f>24706-59</f>
        <v>24647</v>
      </c>
      <c r="U9" s="29"/>
      <c r="V9" s="30">
        <f>33570-387</f>
        <v>33183</v>
      </c>
      <c r="W9" s="29"/>
      <c r="X9" s="30">
        <f>58276-446</f>
        <v>57830</v>
      </c>
      <c r="Y9" s="108"/>
    </row>
    <row r="10" spans="1:25" ht="71.25" customHeight="1">
      <c r="A10" s="192" t="s">
        <v>50</v>
      </c>
      <c r="B10" s="257" t="s">
        <v>40</v>
      </c>
      <c r="C10" s="205"/>
      <c r="D10" s="189" t="s">
        <v>40</v>
      </c>
      <c r="E10" s="206"/>
      <c r="F10" s="30" t="s">
        <v>40</v>
      </c>
      <c r="G10" s="258"/>
      <c r="H10" s="29">
        <v>95</v>
      </c>
      <c r="I10" s="31"/>
      <c r="J10" s="29">
        <v>232</v>
      </c>
      <c r="K10" s="29"/>
      <c r="L10" s="30">
        <v>327</v>
      </c>
      <c r="M10" s="29"/>
      <c r="N10" s="257">
        <v>70</v>
      </c>
      <c r="O10" s="31"/>
      <c r="P10" s="29">
        <v>377</v>
      </c>
      <c r="Q10" s="29"/>
      <c r="R10" s="30">
        <v>447</v>
      </c>
      <c r="S10" s="258"/>
      <c r="T10" s="29">
        <v>71</v>
      </c>
      <c r="U10" s="31"/>
      <c r="V10" s="29">
        <v>387</v>
      </c>
      <c r="W10" s="29"/>
      <c r="X10" s="30">
        <v>458</v>
      </c>
      <c r="Y10" s="108"/>
    </row>
    <row r="11" spans="1:25" ht="8.25" customHeight="1" thickBot="1">
      <c r="A11" s="193"/>
      <c r="B11" s="257"/>
      <c r="C11" s="204"/>
      <c r="D11" s="30"/>
      <c r="E11" s="31"/>
      <c r="F11" s="30"/>
      <c r="G11" s="258"/>
      <c r="H11" s="29"/>
      <c r="I11" s="31"/>
      <c r="J11" s="29"/>
      <c r="K11" s="115"/>
      <c r="L11" s="30"/>
      <c r="M11" s="262"/>
      <c r="N11" s="257"/>
      <c r="O11" s="31"/>
      <c r="P11" s="29"/>
      <c r="Q11" s="29"/>
      <c r="R11" s="30"/>
      <c r="S11" s="258"/>
      <c r="T11" s="29"/>
      <c r="U11" s="31"/>
      <c r="V11" s="29"/>
      <c r="W11" s="115"/>
      <c r="X11" s="30"/>
      <c r="Y11" s="108"/>
    </row>
    <row r="12" spans="1:25" s="100" customFormat="1" ht="38.25" customHeight="1">
      <c r="A12" s="152" t="s">
        <v>51</v>
      </c>
      <c r="B12" s="259">
        <v>402</v>
      </c>
      <c r="C12" s="208"/>
      <c r="D12" s="158">
        <v>412</v>
      </c>
      <c r="E12" s="209"/>
      <c r="F12" s="158">
        <v>406</v>
      </c>
      <c r="G12" s="260"/>
      <c r="H12" s="160">
        <v>27256</v>
      </c>
      <c r="I12" s="160"/>
      <c r="J12" s="158">
        <v>39703</v>
      </c>
      <c r="K12" s="148"/>
      <c r="L12" s="158">
        <v>66959</v>
      </c>
      <c r="M12" s="160"/>
      <c r="N12" s="259">
        <v>25894</v>
      </c>
      <c r="O12" s="160"/>
      <c r="P12" s="158">
        <v>36382</v>
      </c>
      <c r="Q12" s="148"/>
      <c r="R12" s="158">
        <v>62276</v>
      </c>
      <c r="S12" s="260"/>
      <c r="T12" s="160">
        <v>24944</v>
      </c>
      <c r="U12" s="160"/>
      <c r="V12" s="158">
        <v>33735</v>
      </c>
      <c r="W12" s="148"/>
      <c r="X12" s="158">
        <v>58679</v>
      </c>
      <c r="Y12" s="149"/>
    </row>
    <row r="13" spans="1:25" ht="24" customHeight="1" thickBot="1">
      <c r="A13" s="153" t="s">
        <v>52</v>
      </c>
      <c r="B13" s="425" t="s">
        <v>40</v>
      </c>
      <c r="C13" s="207"/>
      <c r="D13" s="201" t="s">
        <v>40</v>
      </c>
      <c r="E13" s="161"/>
      <c r="F13" s="201" t="s">
        <v>40</v>
      </c>
      <c r="G13" s="261"/>
      <c r="H13" s="162">
        <v>10109</v>
      </c>
      <c r="I13" s="161"/>
      <c r="J13" s="162">
        <v>8339</v>
      </c>
      <c r="K13" s="150"/>
      <c r="L13" s="159">
        <v>18448</v>
      </c>
      <c r="M13" s="162"/>
      <c r="N13" s="266">
        <v>10027</v>
      </c>
      <c r="O13" s="175"/>
      <c r="P13" s="176">
        <v>8023</v>
      </c>
      <c r="Q13" s="175"/>
      <c r="R13" s="159">
        <v>18050</v>
      </c>
      <c r="S13" s="261"/>
      <c r="T13" s="162">
        <v>9770</v>
      </c>
      <c r="U13" s="161"/>
      <c r="V13" s="162">
        <v>7255</v>
      </c>
      <c r="W13" s="150"/>
      <c r="X13" s="159">
        <v>17025</v>
      </c>
      <c r="Y13" s="151"/>
    </row>
    <row r="15" ht="12.75">
      <c r="A15" s="213" t="s">
        <v>74</v>
      </c>
    </row>
  </sheetData>
  <sheetProtection/>
  <mergeCells count="4">
    <mergeCell ref="A5:A7"/>
    <mergeCell ref="B6:G6"/>
    <mergeCell ref="N6:S6"/>
    <mergeCell ref="B5:G5"/>
  </mergeCells>
  <printOptions horizontalCentered="1" verticalCentered="1"/>
  <pageMargins left="0.41" right="0" top="0.5511811023622047" bottom="0.7874015748031497" header="0.35433070866141736" footer="0.5511811023622047"/>
  <pageSetup horizontalDpi="300" verticalDpi="300" orientation="landscape" paperSize="9" r:id="rId2"/>
  <headerFooter alignWithMargins="0">
    <oddHeader xml:space="preserve">&amp;C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D7">
      <selection activeCell="E12" sqref="E12"/>
    </sheetView>
  </sheetViews>
  <sheetFormatPr defaultColWidth="9.140625" defaultRowHeight="12.75"/>
  <cols>
    <col min="1" max="1" width="4.28125" style="116" customWidth="1"/>
    <col min="2" max="2" width="9.7109375" style="116" customWidth="1"/>
    <col min="3" max="3" width="33.421875" style="116" customWidth="1"/>
    <col min="4" max="5" width="37.00390625" style="241" customWidth="1"/>
    <col min="6" max="6" width="9.140625" style="118" customWidth="1"/>
    <col min="7" max="7" width="15.28125" style="118" customWidth="1"/>
    <col min="8" max="8" width="10.8515625" style="116" customWidth="1"/>
    <col min="9" max="9" width="5.7109375" style="116" customWidth="1"/>
    <col min="10" max="10" width="13.7109375" style="116" customWidth="1"/>
    <col min="11" max="11" width="5.7109375" style="116" customWidth="1"/>
    <col min="12" max="16384" width="9.140625" style="116" customWidth="1"/>
  </cols>
  <sheetData>
    <row r="1" ht="15.75">
      <c r="A1" s="116" t="s">
        <v>18</v>
      </c>
    </row>
    <row r="2" spans="1:3" ht="15.75">
      <c r="A2" s="119" t="s">
        <v>202</v>
      </c>
      <c r="C2" s="120"/>
    </row>
    <row r="3" spans="6:7" ht="14.25" customHeight="1" thickBot="1">
      <c r="F3" s="116"/>
      <c r="G3" s="116"/>
    </row>
    <row r="4" spans="1:7" ht="33" customHeight="1" thickBot="1">
      <c r="A4" s="121"/>
      <c r="B4" s="122" t="s">
        <v>18</v>
      </c>
      <c r="C4" s="194"/>
      <c r="D4" s="631" t="s">
        <v>203</v>
      </c>
      <c r="E4" s="632"/>
      <c r="F4" s="116"/>
      <c r="G4" s="116"/>
    </row>
    <row r="5" spans="1:7" ht="27" customHeight="1" thickBot="1">
      <c r="A5" s="123"/>
      <c r="B5" s="124" t="s">
        <v>18</v>
      </c>
      <c r="C5" s="124"/>
      <c r="D5" s="267" t="s">
        <v>53</v>
      </c>
      <c r="E5" s="240" t="s">
        <v>39</v>
      </c>
      <c r="F5" s="116"/>
      <c r="G5" s="116"/>
    </row>
    <row r="6" spans="1:7" ht="34.5" customHeight="1">
      <c r="A6" s="123"/>
      <c r="B6" s="125" t="s">
        <v>54</v>
      </c>
      <c r="C6" s="125"/>
      <c r="D6" s="289" t="s">
        <v>65</v>
      </c>
      <c r="E6" s="290">
        <v>588</v>
      </c>
      <c r="F6" s="116"/>
      <c r="G6" s="116"/>
    </row>
    <row r="7" spans="1:7" ht="34.5" customHeight="1">
      <c r="A7" s="123"/>
      <c r="B7" s="118"/>
      <c r="C7" s="118" t="s">
        <v>57</v>
      </c>
      <c r="D7" s="291">
        <v>4</v>
      </c>
      <c r="E7" s="292">
        <v>458</v>
      </c>
      <c r="F7" s="116"/>
      <c r="G7" s="116"/>
    </row>
    <row r="8" spans="1:7" ht="34.5" customHeight="1">
      <c r="A8" s="123"/>
      <c r="B8" s="118"/>
      <c r="C8" s="195" t="s">
        <v>55</v>
      </c>
      <c r="D8" s="293">
        <v>6</v>
      </c>
      <c r="E8" s="294">
        <v>130</v>
      </c>
      <c r="F8" s="116"/>
      <c r="G8" s="116"/>
    </row>
    <row r="9" spans="1:7" ht="34.5" customHeight="1">
      <c r="A9" s="123"/>
      <c r="B9" s="125" t="s">
        <v>73</v>
      </c>
      <c r="C9" s="125"/>
      <c r="D9" s="289" t="s">
        <v>65</v>
      </c>
      <c r="E9" s="290">
        <v>4185</v>
      </c>
      <c r="F9" s="116"/>
      <c r="G9" s="116"/>
    </row>
    <row r="10" spans="1:7" ht="34.5" customHeight="1">
      <c r="A10" s="123"/>
      <c r="B10" s="118"/>
      <c r="C10" s="118" t="s">
        <v>58</v>
      </c>
      <c r="D10" s="291">
        <v>20</v>
      </c>
      <c r="E10" s="292">
        <v>1927</v>
      </c>
      <c r="F10" s="116"/>
      <c r="G10" s="116"/>
    </row>
    <row r="11" spans="1:7" ht="34.5" customHeight="1">
      <c r="A11" s="123"/>
      <c r="B11" s="118"/>
      <c r="C11" s="118" t="s">
        <v>37</v>
      </c>
      <c r="D11" s="295">
        <v>12</v>
      </c>
      <c r="E11" s="292">
        <v>2258</v>
      </c>
      <c r="F11" s="116"/>
      <c r="G11" s="116"/>
    </row>
    <row r="12" spans="1:7" ht="34.5" customHeight="1">
      <c r="A12" s="123"/>
      <c r="B12" s="125" t="s">
        <v>56</v>
      </c>
      <c r="C12" s="125"/>
      <c r="D12" s="289" t="s">
        <v>65</v>
      </c>
      <c r="E12" s="290">
        <v>-3597</v>
      </c>
      <c r="F12" s="116"/>
      <c r="G12" s="116"/>
    </row>
    <row r="13" spans="1:7" ht="34.5" customHeight="1">
      <c r="A13" s="123"/>
      <c r="B13" s="118"/>
      <c r="C13" s="118" t="s">
        <v>46</v>
      </c>
      <c r="D13" s="293" t="s">
        <v>65</v>
      </c>
      <c r="E13" s="292">
        <v>-950</v>
      </c>
      <c r="F13" s="116"/>
      <c r="G13" s="116"/>
    </row>
    <row r="14" spans="1:7" ht="34.5" customHeight="1">
      <c r="A14" s="123" t="s">
        <v>18</v>
      </c>
      <c r="B14" s="118"/>
      <c r="C14" s="118" t="s">
        <v>47</v>
      </c>
      <c r="D14" s="293" t="s">
        <v>65</v>
      </c>
      <c r="E14" s="292">
        <v>-2647</v>
      </c>
      <c r="F14" s="116"/>
      <c r="G14" s="116"/>
    </row>
    <row r="15" spans="1:7" ht="34.5" customHeight="1" thickBot="1">
      <c r="A15" s="126"/>
      <c r="B15" s="127"/>
      <c r="C15" s="127"/>
      <c r="D15" s="296"/>
      <c r="E15" s="297"/>
      <c r="F15" s="116"/>
      <c r="G15" s="116"/>
    </row>
    <row r="16" spans="5:7" ht="9" customHeight="1">
      <c r="E16" s="242"/>
      <c r="F16" s="116"/>
      <c r="G16" s="116"/>
    </row>
    <row r="17" spans="1:5" ht="15" customHeight="1">
      <c r="A17" s="23" t="s">
        <v>70</v>
      </c>
      <c r="D17" s="117"/>
      <c r="E17" s="239"/>
    </row>
    <row r="18" ht="15" customHeight="1">
      <c r="A18" s="213" t="s">
        <v>74</v>
      </c>
    </row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</sheetData>
  <sheetProtection/>
  <mergeCells count="1">
    <mergeCell ref="D4:E4"/>
  </mergeCells>
  <printOptions horizontalCentered="1" verticalCentered="1"/>
  <pageMargins left="0.5118110236220472" right="0" top="0.6299212598425197" bottom="0.6299212598425197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B13">
      <selection activeCell="I25" sqref="I25"/>
    </sheetView>
  </sheetViews>
  <sheetFormatPr defaultColWidth="9.140625" defaultRowHeight="12.75"/>
  <cols>
    <col min="1" max="1" width="39.28125" style="39" customWidth="1"/>
    <col min="2" max="2" width="11.421875" style="39" customWidth="1"/>
    <col min="3" max="9" width="11.140625" style="39" customWidth="1"/>
    <col min="10" max="16384" width="9.140625" style="39" customWidth="1"/>
  </cols>
  <sheetData>
    <row r="1" ht="21" customHeight="1">
      <c r="A1" s="38" t="s">
        <v>204</v>
      </c>
    </row>
    <row r="2" ht="16.5" thickBot="1">
      <c r="A2" s="38"/>
    </row>
    <row r="3" spans="1:9" ht="36.75" customHeight="1">
      <c r="A3" s="165" t="s">
        <v>18</v>
      </c>
      <c r="B3" s="230">
        <v>39508</v>
      </c>
      <c r="C3" s="40"/>
      <c r="D3" s="40"/>
      <c r="E3" s="41"/>
      <c r="F3" s="230">
        <v>39873</v>
      </c>
      <c r="G3" s="40"/>
      <c r="H3" s="40"/>
      <c r="I3" s="41"/>
    </row>
    <row r="4" spans="1:9" ht="23.25" customHeight="1">
      <c r="A4" s="166" t="s">
        <v>2</v>
      </c>
      <c r="B4" s="231" t="s">
        <v>59</v>
      </c>
      <c r="C4" s="42" t="s">
        <v>39</v>
      </c>
      <c r="D4" s="43"/>
      <c r="E4" s="44"/>
      <c r="F4" s="231" t="s">
        <v>59</v>
      </c>
      <c r="G4" s="42" t="s">
        <v>39</v>
      </c>
      <c r="H4" s="43"/>
      <c r="I4" s="44"/>
    </row>
    <row r="5" spans="1:9" ht="25.5" customHeight="1" thickBot="1">
      <c r="A5" s="167"/>
      <c r="B5" s="232" t="s">
        <v>53</v>
      </c>
      <c r="C5" s="45" t="s">
        <v>46</v>
      </c>
      <c r="D5" s="45" t="s">
        <v>47</v>
      </c>
      <c r="E5" s="46" t="s">
        <v>48</v>
      </c>
      <c r="F5" s="232" t="s">
        <v>53</v>
      </c>
      <c r="G5" s="45" t="s">
        <v>46</v>
      </c>
      <c r="H5" s="45" t="s">
        <v>47</v>
      </c>
      <c r="I5" s="46" t="s">
        <v>48</v>
      </c>
    </row>
    <row r="6" spans="1:9" ht="23.25" customHeight="1">
      <c r="A6" s="168" t="s">
        <v>3</v>
      </c>
      <c r="B6" s="233">
        <v>16</v>
      </c>
      <c r="C6" s="47">
        <v>1293</v>
      </c>
      <c r="D6" s="48">
        <v>2903</v>
      </c>
      <c r="E6" s="49">
        <v>4196</v>
      </c>
      <c r="F6" s="233">
        <v>27</v>
      </c>
      <c r="G6" s="47">
        <v>1499</v>
      </c>
      <c r="H6" s="48">
        <v>2989</v>
      </c>
      <c r="I6" s="49">
        <f aca="true" t="shared" si="0" ref="I6:I19">G6+H6</f>
        <v>4488</v>
      </c>
    </row>
    <row r="7" spans="1:9" ht="23.25" customHeight="1">
      <c r="A7" s="169" t="s">
        <v>4</v>
      </c>
      <c r="B7" s="233">
        <v>21</v>
      </c>
      <c r="C7" s="47">
        <v>102</v>
      </c>
      <c r="D7" s="48">
        <v>150</v>
      </c>
      <c r="E7" s="49">
        <v>252</v>
      </c>
      <c r="F7" s="233">
        <v>19</v>
      </c>
      <c r="G7" s="47">
        <v>103</v>
      </c>
      <c r="H7" s="48">
        <v>127</v>
      </c>
      <c r="I7" s="49">
        <f t="shared" si="0"/>
        <v>230</v>
      </c>
    </row>
    <row r="8" spans="1:9" ht="23.25" customHeight="1">
      <c r="A8" s="169" t="s">
        <v>5</v>
      </c>
      <c r="B8" s="233">
        <v>35</v>
      </c>
      <c r="C8" s="47">
        <v>3839</v>
      </c>
      <c r="D8" s="48">
        <v>1648</v>
      </c>
      <c r="E8" s="49">
        <v>5487</v>
      </c>
      <c r="F8" s="233">
        <v>32</v>
      </c>
      <c r="G8" s="47">
        <v>3209</v>
      </c>
      <c r="H8" s="48">
        <v>1324</v>
      </c>
      <c r="I8" s="49">
        <f t="shared" si="0"/>
        <v>4533</v>
      </c>
    </row>
    <row r="9" spans="1:9" ht="23.25" customHeight="1">
      <c r="A9" s="169" t="s">
        <v>6</v>
      </c>
      <c r="B9" s="233">
        <v>174</v>
      </c>
      <c r="C9" s="47">
        <v>18589</v>
      </c>
      <c r="D9" s="48">
        <v>30448</v>
      </c>
      <c r="E9" s="49">
        <v>49037</v>
      </c>
      <c r="F9" s="233">
        <v>165</v>
      </c>
      <c r="G9" s="47">
        <v>16736</v>
      </c>
      <c r="H9" s="48">
        <v>24921</v>
      </c>
      <c r="I9" s="49">
        <f t="shared" si="0"/>
        <v>41657</v>
      </c>
    </row>
    <row r="10" spans="1:9" ht="23.25" customHeight="1">
      <c r="A10" s="170" t="s">
        <v>60</v>
      </c>
      <c r="B10" s="234">
        <v>24</v>
      </c>
      <c r="C10" s="50">
        <v>2096</v>
      </c>
      <c r="D10" s="51">
        <v>3115</v>
      </c>
      <c r="E10" s="238">
        <v>5211</v>
      </c>
      <c r="F10" s="234">
        <v>23</v>
      </c>
      <c r="G10" s="50">
        <v>1861</v>
      </c>
      <c r="H10" s="51">
        <v>2302</v>
      </c>
      <c r="I10" s="238">
        <f t="shared" si="0"/>
        <v>4163</v>
      </c>
    </row>
    <row r="11" spans="1:9" ht="23.25" customHeight="1">
      <c r="A11" s="170" t="s">
        <v>42</v>
      </c>
      <c r="B11" s="234">
        <v>150</v>
      </c>
      <c r="C11" s="50">
        <v>16493</v>
      </c>
      <c r="D11" s="51">
        <v>27333</v>
      </c>
      <c r="E11" s="238">
        <v>43826</v>
      </c>
      <c r="F11" s="234">
        <v>142</v>
      </c>
      <c r="G11" s="50">
        <v>14875</v>
      </c>
      <c r="H11" s="51">
        <v>22619</v>
      </c>
      <c r="I11" s="238">
        <f t="shared" si="0"/>
        <v>37494</v>
      </c>
    </row>
    <row r="12" spans="1:9" ht="23.25" customHeight="1">
      <c r="A12" s="169" t="s">
        <v>9</v>
      </c>
      <c r="B12" s="233">
        <v>6</v>
      </c>
      <c r="C12" s="47">
        <v>105</v>
      </c>
      <c r="D12" s="48">
        <v>449</v>
      </c>
      <c r="E12" s="49">
        <v>554</v>
      </c>
      <c r="F12" s="233">
        <v>7</v>
      </c>
      <c r="G12" s="47">
        <v>105</v>
      </c>
      <c r="H12" s="48">
        <v>390</v>
      </c>
      <c r="I12" s="49">
        <f t="shared" si="0"/>
        <v>495</v>
      </c>
    </row>
    <row r="13" spans="1:9" ht="23.25" customHeight="1">
      <c r="A13" s="169" t="s">
        <v>10</v>
      </c>
      <c r="B13" s="233">
        <v>13</v>
      </c>
      <c r="C13" s="47">
        <v>450</v>
      </c>
      <c r="D13" s="48">
        <v>173</v>
      </c>
      <c r="E13" s="49">
        <v>623</v>
      </c>
      <c r="F13" s="233">
        <v>13</v>
      </c>
      <c r="G13" s="47">
        <v>446</v>
      </c>
      <c r="H13" s="48">
        <v>158</v>
      </c>
      <c r="I13" s="49">
        <f t="shared" si="0"/>
        <v>604</v>
      </c>
    </row>
    <row r="14" spans="1:9" ht="23.25" customHeight="1">
      <c r="A14" s="169" t="s">
        <v>11</v>
      </c>
      <c r="B14" s="233">
        <v>2</v>
      </c>
      <c r="C14" s="47">
        <v>177</v>
      </c>
      <c r="D14" s="48">
        <v>180</v>
      </c>
      <c r="E14" s="49">
        <v>357</v>
      </c>
      <c r="F14" s="233">
        <v>2</v>
      </c>
      <c r="G14" s="47">
        <v>172</v>
      </c>
      <c r="H14" s="48">
        <v>175</v>
      </c>
      <c r="I14" s="49">
        <f t="shared" si="0"/>
        <v>347</v>
      </c>
    </row>
    <row r="15" spans="1:9" ht="23.25" customHeight="1">
      <c r="A15" s="169" t="s">
        <v>12</v>
      </c>
      <c r="B15" s="233">
        <v>5</v>
      </c>
      <c r="C15" s="47">
        <v>361</v>
      </c>
      <c r="D15" s="48">
        <v>416</v>
      </c>
      <c r="E15" s="49">
        <v>777</v>
      </c>
      <c r="F15" s="233">
        <v>5</v>
      </c>
      <c r="G15" s="47">
        <v>270</v>
      </c>
      <c r="H15" s="48">
        <v>451</v>
      </c>
      <c r="I15" s="49">
        <f t="shared" si="0"/>
        <v>721</v>
      </c>
    </row>
    <row r="16" spans="1:10" ht="23.25" customHeight="1">
      <c r="A16" s="169" t="s">
        <v>13</v>
      </c>
      <c r="B16" s="233">
        <v>8</v>
      </c>
      <c r="C16" s="47">
        <v>127</v>
      </c>
      <c r="D16" s="48">
        <v>415</v>
      </c>
      <c r="E16" s="49">
        <v>542</v>
      </c>
      <c r="F16" s="233">
        <v>8</v>
      </c>
      <c r="G16" s="47">
        <v>111</v>
      </c>
      <c r="H16" s="48">
        <v>282</v>
      </c>
      <c r="I16" s="49">
        <f t="shared" si="0"/>
        <v>393</v>
      </c>
      <c r="J16" s="52"/>
    </row>
    <row r="17" spans="1:9" ht="23.25" customHeight="1">
      <c r="A17" s="169" t="s">
        <v>14</v>
      </c>
      <c r="B17" s="233">
        <v>39</v>
      </c>
      <c r="C17" s="47">
        <v>681</v>
      </c>
      <c r="D17" s="48">
        <v>1104</v>
      </c>
      <c r="E17" s="49">
        <v>1785</v>
      </c>
      <c r="F17" s="233">
        <v>40</v>
      </c>
      <c r="G17" s="47">
        <v>584</v>
      </c>
      <c r="H17" s="48">
        <v>940</v>
      </c>
      <c r="I17" s="49">
        <f t="shared" si="0"/>
        <v>1524</v>
      </c>
    </row>
    <row r="18" spans="1:9" ht="23.25" customHeight="1">
      <c r="A18" s="169" t="s">
        <v>15</v>
      </c>
      <c r="B18" s="233">
        <v>4</v>
      </c>
      <c r="C18" s="47">
        <v>52</v>
      </c>
      <c r="D18" s="48">
        <v>307</v>
      </c>
      <c r="E18" s="49">
        <v>359</v>
      </c>
      <c r="F18" s="233">
        <v>3</v>
      </c>
      <c r="G18" s="47">
        <v>27</v>
      </c>
      <c r="H18" s="48">
        <v>254</v>
      </c>
      <c r="I18" s="49">
        <f t="shared" si="0"/>
        <v>281</v>
      </c>
    </row>
    <row r="19" spans="1:9" ht="23.25" customHeight="1">
      <c r="A19" s="169" t="s">
        <v>16</v>
      </c>
      <c r="B19" s="233">
        <v>79</v>
      </c>
      <c r="C19" s="47">
        <v>1480</v>
      </c>
      <c r="D19" s="48">
        <v>1510</v>
      </c>
      <c r="E19" s="49">
        <v>2990</v>
      </c>
      <c r="F19" s="233">
        <v>85</v>
      </c>
      <c r="G19" s="47">
        <v>1682</v>
      </c>
      <c r="H19" s="48">
        <v>1724</v>
      </c>
      <c r="I19" s="49">
        <f t="shared" si="0"/>
        <v>3406</v>
      </c>
    </row>
    <row r="20" spans="1:9" ht="4.5" customHeight="1" thickBot="1">
      <c r="A20" s="170"/>
      <c r="B20" s="233"/>
      <c r="C20" s="47"/>
      <c r="D20" s="53"/>
      <c r="E20" s="49"/>
      <c r="F20" s="233"/>
      <c r="G20" s="47"/>
      <c r="H20" s="53"/>
      <c r="I20" s="49"/>
    </row>
    <row r="21" spans="1:9" ht="39.75" customHeight="1" thickBot="1">
      <c r="A21" s="171" t="s">
        <v>17</v>
      </c>
      <c r="B21" s="235">
        <v>402</v>
      </c>
      <c r="C21" s="54">
        <v>27256</v>
      </c>
      <c r="D21" s="54">
        <v>39703</v>
      </c>
      <c r="E21" s="236">
        <v>66959</v>
      </c>
      <c r="F21" s="603">
        <f>SUM(F6:F9,F12:F19)</f>
        <v>406</v>
      </c>
      <c r="G21" s="604">
        <f>SUM(G6:G9,G12:G19)</f>
        <v>24944</v>
      </c>
      <c r="H21" s="604">
        <f>SUM(H6:H9,H12:H19)</f>
        <v>33735</v>
      </c>
      <c r="I21" s="605">
        <f>SUM(I6:I9,I12:I19)</f>
        <v>58679</v>
      </c>
    </row>
    <row r="23" ht="12.75">
      <c r="A23" s="213" t="s">
        <v>74</v>
      </c>
    </row>
    <row r="28" spans="6:8" ht="12.75">
      <c r="F28" s="214"/>
      <c r="H28" s="215"/>
    </row>
  </sheetData>
  <sheetProtection/>
  <printOptions horizontalCentered="1" verticalCentered="1"/>
  <pageMargins left="0.7480314960629921" right="0" top="0.35433070866141736" bottom="0.35433070866141736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B7">
      <selection activeCell="G16" sqref="G16"/>
    </sheetView>
  </sheetViews>
  <sheetFormatPr defaultColWidth="9.140625" defaultRowHeight="12.75"/>
  <cols>
    <col min="1" max="1" width="39.57421875" style="79" customWidth="1"/>
    <col min="2" max="4" width="17.8515625" style="79" customWidth="1"/>
    <col min="5" max="5" width="13.7109375" style="79" customWidth="1"/>
    <col min="6" max="6" width="4.7109375" style="79" customWidth="1"/>
    <col min="7" max="7" width="13.7109375" style="79" customWidth="1"/>
    <col min="8" max="8" width="4.7109375" style="79" customWidth="1"/>
    <col min="9" max="16384" width="9.140625" style="79" customWidth="1"/>
  </cols>
  <sheetData>
    <row r="1" ht="20.25" customHeight="1">
      <c r="A1" s="80" t="s">
        <v>205</v>
      </c>
    </row>
    <row r="2" ht="9.75" customHeight="1" thickBot="1">
      <c r="A2" s="80"/>
    </row>
    <row r="3" spans="1:8" ht="18.75" customHeight="1">
      <c r="A3" s="178"/>
      <c r="B3" s="281" t="s">
        <v>39</v>
      </c>
      <c r="C3" s="128"/>
      <c r="D3" s="137"/>
      <c r="E3" s="281" t="s">
        <v>1</v>
      </c>
      <c r="F3" s="128"/>
      <c r="G3" s="128"/>
      <c r="H3" s="129"/>
    </row>
    <row r="4" spans="1:8" ht="31.5" customHeight="1" thickBot="1">
      <c r="A4" s="196" t="s">
        <v>2</v>
      </c>
      <c r="B4" s="415" t="s">
        <v>76</v>
      </c>
      <c r="C4" s="310" t="s">
        <v>206</v>
      </c>
      <c r="D4" s="78" t="s">
        <v>207</v>
      </c>
      <c r="E4" s="633" t="s">
        <v>191</v>
      </c>
      <c r="F4" s="634" t="s">
        <v>61</v>
      </c>
      <c r="G4" s="635" t="s">
        <v>208</v>
      </c>
      <c r="H4" s="636" t="s">
        <v>61</v>
      </c>
    </row>
    <row r="5" spans="1:8" ht="31.5" customHeight="1">
      <c r="A5" s="179" t="s">
        <v>3</v>
      </c>
      <c r="B5" s="426">
        <v>4196</v>
      </c>
      <c r="C5" s="138">
        <v>4453</v>
      </c>
      <c r="D5" s="138">
        <v>4488</v>
      </c>
      <c r="E5" s="282">
        <f>D5-C5</f>
        <v>35</v>
      </c>
      <c r="F5" s="131"/>
      <c r="G5" s="174">
        <f>D5-B5</f>
        <v>292</v>
      </c>
      <c r="H5" s="132"/>
    </row>
    <row r="6" spans="1:8" ht="24" customHeight="1">
      <c r="A6" s="180" t="s">
        <v>4</v>
      </c>
      <c r="B6" s="427">
        <v>252</v>
      </c>
      <c r="C6" s="139">
        <v>234</v>
      </c>
      <c r="D6" s="139">
        <v>230</v>
      </c>
      <c r="E6" s="282">
        <f>D6-C6</f>
        <v>-4</v>
      </c>
      <c r="F6" s="131"/>
      <c r="G6" s="174">
        <f>D6-B6</f>
        <v>-22</v>
      </c>
      <c r="H6" s="132"/>
    </row>
    <row r="7" spans="1:8" ht="24" customHeight="1">
      <c r="A7" s="180" t="s">
        <v>5</v>
      </c>
      <c r="B7" s="427">
        <v>5487</v>
      </c>
      <c r="C7" s="139">
        <v>5169</v>
      </c>
      <c r="D7" s="139">
        <v>4533</v>
      </c>
      <c r="E7" s="282">
        <f>D7-C7</f>
        <v>-636</v>
      </c>
      <c r="F7" s="131"/>
      <c r="G7" s="174">
        <f>D7-B7</f>
        <v>-954</v>
      </c>
      <c r="H7" s="132"/>
    </row>
    <row r="8" spans="1:8" ht="24" customHeight="1">
      <c r="A8" s="180" t="s">
        <v>6</v>
      </c>
      <c r="B8" s="427">
        <v>49037</v>
      </c>
      <c r="C8" s="139">
        <v>44318</v>
      </c>
      <c r="D8" s="139">
        <v>41657</v>
      </c>
      <c r="E8" s="282">
        <f>D8-C8</f>
        <v>-2661</v>
      </c>
      <c r="F8" s="131"/>
      <c r="G8" s="174">
        <f>D8-B8</f>
        <v>-7380</v>
      </c>
      <c r="H8" s="132"/>
    </row>
    <row r="9" spans="1:8" ht="24" customHeight="1">
      <c r="A9" s="181" t="s">
        <v>7</v>
      </c>
      <c r="B9" s="428">
        <v>5211</v>
      </c>
      <c r="C9" s="136">
        <v>4184</v>
      </c>
      <c r="D9" s="136">
        <v>4163</v>
      </c>
      <c r="E9" s="283">
        <v>21</v>
      </c>
      <c r="F9" s="606"/>
      <c r="G9" s="285">
        <v>1048</v>
      </c>
      <c r="H9" s="132"/>
    </row>
    <row r="10" spans="1:8" ht="24" customHeight="1">
      <c r="A10" s="181" t="s">
        <v>8</v>
      </c>
      <c r="B10" s="428">
        <v>43826</v>
      </c>
      <c r="C10" s="136">
        <v>40134</v>
      </c>
      <c r="D10" s="136">
        <v>37494</v>
      </c>
      <c r="E10" s="283">
        <v>2640</v>
      </c>
      <c r="F10" s="606"/>
      <c r="G10" s="285">
        <v>6332</v>
      </c>
      <c r="H10" s="132"/>
    </row>
    <row r="11" spans="1:8" ht="24" customHeight="1">
      <c r="A11" s="180" t="s">
        <v>9</v>
      </c>
      <c r="B11" s="427">
        <v>554</v>
      </c>
      <c r="C11" s="139">
        <v>510</v>
      </c>
      <c r="D11" s="139">
        <v>495</v>
      </c>
      <c r="E11" s="282">
        <f aca="true" t="shared" si="0" ref="E11:E18">D11-C11</f>
        <v>-15</v>
      </c>
      <c r="F11" s="131"/>
      <c r="G11" s="174">
        <f aca="true" t="shared" si="1" ref="G11:G18">D11-B11</f>
        <v>-59</v>
      </c>
      <c r="H11" s="132"/>
    </row>
    <row r="12" spans="1:8" ht="24" customHeight="1">
      <c r="A12" s="180" t="s">
        <v>10</v>
      </c>
      <c r="B12" s="427">
        <v>623</v>
      </c>
      <c r="C12" s="139">
        <v>622</v>
      </c>
      <c r="D12" s="139">
        <v>604</v>
      </c>
      <c r="E12" s="282">
        <f t="shared" si="0"/>
        <v>-18</v>
      </c>
      <c r="F12" s="131"/>
      <c r="G12" s="174">
        <f t="shared" si="1"/>
        <v>-19</v>
      </c>
      <c r="H12" s="132"/>
    </row>
    <row r="13" spans="1:8" ht="24" customHeight="1">
      <c r="A13" s="180" t="s">
        <v>11</v>
      </c>
      <c r="B13" s="427">
        <v>357</v>
      </c>
      <c r="C13" s="139">
        <v>323</v>
      </c>
      <c r="D13" s="139">
        <v>347</v>
      </c>
      <c r="E13" s="282">
        <f t="shared" si="0"/>
        <v>24</v>
      </c>
      <c r="F13" s="131"/>
      <c r="G13" s="174">
        <f t="shared" si="1"/>
        <v>-10</v>
      </c>
      <c r="H13" s="132"/>
    </row>
    <row r="14" spans="1:8" ht="24" customHeight="1">
      <c r="A14" s="180" t="s">
        <v>12</v>
      </c>
      <c r="B14" s="427">
        <v>777</v>
      </c>
      <c r="C14" s="139">
        <v>766</v>
      </c>
      <c r="D14" s="139">
        <v>721</v>
      </c>
      <c r="E14" s="282">
        <f>D14-C14</f>
        <v>-45</v>
      </c>
      <c r="F14" s="131"/>
      <c r="G14" s="174">
        <f t="shared" si="1"/>
        <v>-56</v>
      </c>
      <c r="H14" s="132"/>
    </row>
    <row r="15" spans="1:8" ht="24" customHeight="1">
      <c r="A15" s="180" t="s">
        <v>13</v>
      </c>
      <c r="B15" s="427">
        <v>542</v>
      </c>
      <c r="C15" s="139">
        <v>418</v>
      </c>
      <c r="D15" s="139">
        <v>393</v>
      </c>
      <c r="E15" s="282">
        <f t="shared" si="0"/>
        <v>-25</v>
      </c>
      <c r="F15" s="131"/>
      <c r="G15" s="174">
        <f>D15-B15</f>
        <v>-149</v>
      </c>
      <c r="H15" s="132"/>
    </row>
    <row r="16" spans="1:8" ht="24" customHeight="1">
      <c r="A16" s="180" t="s">
        <v>14</v>
      </c>
      <c r="B16" s="427">
        <v>1785</v>
      </c>
      <c r="C16" s="139">
        <v>1760</v>
      </c>
      <c r="D16" s="139">
        <v>1524</v>
      </c>
      <c r="E16" s="282">
        <f t="shared" si="0"/>
        <v>-236</v>
      </c>
      <c r="F16" s="131"/>
      <c r="G16" s="174">
        <f t="shared" si="1"/>
        <v>-261</v>
      </c>
      <c r="H16" s="132"/>
    </row>
    <row r="17" spans="1:8" ht="24" customHeight="1">
      <c r="A17" s="180" t="s">
        <v>15</v>
      </c>
      <c r="B17" s="427">
        <v>359</v>
      </c>
      <c r="C17" s="139">
        <v>281</v>
      </c>
      <c r="D17" s="139">
        <v>281</v>
      </c>
      <c r="E17" s="282">
        <f t="shared" si="0"/>
        <v>0</v>
      </c>
      <c r="F17" s="131"/>
      <c r="G17" s="174">
        <f t="shared" si="1"/>
        <v>-78</v>
      </c>
      <c r="H17" s="132"/>
    </row>
    <row r="18" spans="1:8" ht="24" customHeight="1">
      <c r="A18" s="180" t="s">
        <v>16</v>
      </c>
      <c r="B18" s="427">
        <v>2990</v>
      </c>
      <c r="C18" s="139">
        <v>3422</v>
      </c>
      <c r="D18" s="139">
        <v>3406</v>
      </c>
      <c r="E18" s="282">
        <f t="shared" si="0"/>
        <v>-16</v>
      </c>
      <c r="F18" s="131"/>
      <c r="G18" s="174">
        <f t="shared" si="1"/>
        <v>416</v>
      </c>
      <c r="H18" s="132"/>
    </row>
    <row r="19" spans="1:8" ht="6.75" customHeight="1" thickBot="1">
      <c r="A19" s="181"/>
      <c r="B19" s="427"/>
      <c r="C19" s="244"/>
      <c r="D19" s="139"/>
      <c r="E19" s="282"/>
      <c r="F19" s="135"/>
      <c r="G19" s="154"/>
      <c r="H19" s="132"/>
    </row>
    <row r="20" spans="1:8" ht="29.25" customHeight="1" thickBot="1">
      <c r="A20" s="182" t="s">
        <v>17</v>
      </c>
      <c r="B20" s="429">
        <v>66959</v>
      </c>
      <c r="C20" s="156">
        <v>62276</v>
      </c>
      <c r="D20" s="156">
        <f>SUM(D5:D8,D11:D18)</f>
        <v>58679</v>
      </c>
      <c r="E20" s="284">
        <f>D20-C20</f>
        <v>-3597</v>
      </c>
      <c r="F20" s="155"/>
      <c r="G20" s="177">
        <f>D20-B20</f>
        <v>-8280</v>
      </c>
      <c r="H20" s="157"/>
    </row>
    <row r="22" spans="1:8" ht="12.75">
      <c r="A22" s="213" t="s">
        <v>74</v>
      </c>
      <c r="E22"/>
      <c r="F22"/>
      <c r="G22"/>
      <c r="H22"/>
    </row>
    <row r="23" spans="4:8" ht="12.75">
      <c r="D23" s="130"/>
      <c r="E23"/>
      <c r="F23"/>
      <c r="G23"/>
      <c r="H23"/>
    </row>
    <row r="33" ht="12.75">
      <c r="B33" s="130"/>
    </row>
  </sheetData>
  <sheetProtection/>
  <mergeCells count="2">
    <mergeCell ref="E4:F4"/>
    <mergeCell ref="G4:H4"/>
  </mergeCells>
  <printOptions verticalCentered="1"/>
  <pageMargins left="0.7480314960629921" right="0.2362204724409449" top="0.5905511811023623" bottom="0.5905511811023623" header="0.5511811023622047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pane xSplit="1" ySplit="5" topLeftCell="B1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3" sqref="A23"/>
    </sheetView>
  </sheetViews>
  <sheetFormatPr defaultColWidth="9.140625" defaultRowHeight="12.75"/>
  <cols>
    <col min="1" max="1" width="40.28125" style="26" customWidth="1"/>
    <col min="2" max="2" width="11.7109375" style="26" customWidth="1"/>
    <col min="3" max="3" width="3.28125" style="26" customWidth="1"/>
    <col min="4" max="4" width="11.7109375" style="26" customWidth="1"/>
    <col min="5" max="5" width="3.28125" style="26" customWidth="1"/>
    <col min="6" max="6" width="11.7109375" style="26" customWidth="1"/>
    <col min="7" max="7" width="3.28125" style="26" customWidth="1"/>
    <col min="8" max="8" width="11.7109375" style="26" customWidth="1"/>
    <col min="9" max="9" width="3.28125" style="26" customWidth="1"/>
    <col min="10" max="10" width="11.7109375" style="26" customWidth="1"/>
    <col min="11" max="11" width="3.28125" style="26" customWidth="1"/>
    <col min="12" max="12" width="11.7109375" style="26" customWidth="1"/>
    <col min="13" max="13" width="3.28125" style="26" customWidth="1"/>
    <col min="14" max="16384" width="9.140625" style="26" customWidth="1"/>
  </cols>
  <sheetData>
    <row r="1" spans="1:13" ht="15.75">
      <c r="A1" s="24" t="s">
        <v>209</v>
      </c>
      <c r="M1" s="55"/>
    </row>
    <row r="2" ht="10.5" customHeight="1" thickBot="1">
      <c r="M2" s="55"/>
    </row>
    <row r="3" spans="1:13" ht="24.75" customHeight="1">
      <c r="A3" s="637" t="s">
        <v>2</v>
      </c>
      <c r="B3" s="430" t="s">
        <v>75</v>
      </c>
      <c r="C3" s="56"/>
      <c r="D3" s="57"/>
      <c r="E3" s="57"/>
      <c r="F3" s="57"/>
      <c r="G3" s="58"/>
      <c r="H3" s="56" t="s">
        <v>201</v>
      </c>
      <c r="I3" s="56"/>
      <c r="J3" s="57"/>
      <c r="K3" s="57"/>
      <c r="L3" s="57"/>
      <c r="M3" s="58"/>
    </row>
    <row r="4" spans="1:13" ht="24.75" customHeight="1" thickBot="1">
      <c r="A4" s="638"/>
      <c r="B4" s="431" t="s">
        <v>39</v>
      </c>
      <c r="C4" s="59"/>
      <c r="D4" s="60"/>
      <c r="E4" s="60"/>
      <c r="F4" s="60"/>
      <c r="G4" s="61"/>
      <c r="H4" s="59" t="s">
        <v>39</v>
      </c>
      <c r="I4" s="59"/>
      <c r="J4" s="60"/>
      <c r="K4" s="60"/>
      <c r="L4" s="60"/>
      <c r="M4" s="61"/>
    </row>
    <row r="5" spans="1:13" ht="24.75" customHeight="1" thickBot="1">
      <c r="A5" s="639"/>
      <c r="B5" s="432" t="s">
        <v>46</v>
      </c>
      <c r="C5" s="62"/>
      <c r="D5" s="62" t="s">
        <v>47</v>
      </c>
      <c r="E5" s="62"/>
      <c r="F5" s="63" t="s">
        <v>48</v>
      </c>
      <c r="G5" s="64"/>
      <c r="H5" s="245" t="s">
        <v>46</v>
      </c>
      <c r="I5" s="62"/>
      <c r="J5" s="62" t="s">
        <v>47</v>
      </c>
      <c r="K5" s="62"/>
      <c r="L5" s="63" t="s">
        <v>48</v>
      </c>
      <c r="M5" s="64"/>
    </row>
    <row r="6" spans="1:14" ht="23.25" customHeight="1">
      <c r="A6" s="197" t="s">
        <v>3</v>
      </c>
      <c r="B6" s="433">
        <v>201</v>
      </c>
      <c r="C6" s="66"/>
      <c r="D6" s="67">
        <v>831</v>
      </c>
      <c r="E6" s="67"/>
      <c r="F6" s="65">
        <v>1032</v>
      </c>
      <c r="G6" s="68"/>
      <c r="H6" s="76">
        <v>256</v>
      </c>
      <c r="I6" s="66"/>
      <c r="J6" s="67">
        <v>876</v>
      </c>
      <c r="K6" s="67"/>
      <c r="L6" s="65">
        <f>H6+J6</f>
        <v>1132</v>
      </c>
      <c r="M6" s="68"/>
      <c r="N6" s="69"/>
    </row>
    <row r="7" spans="1:14" ht="23.25" customHeight="1">
      <c r="A7" s="198" t="s">
        <v>4</v>
      </c>
      <c r="B7" s="433">
        <v>0</v>
      </c>
      <c r="C7" s="66"/>
      <c r="D7" s="67">
        <v>0</v>
      </c>
      <c r="E7" s="67"/>
      <c r="F7" s="65">
        <v>0</v>
      </c>
      <c r="G7" s="68"/>
      <c r="H7" s="76">
        <v>0</v>
      </c>
      <c r="I7" s="66"/>
      <c r="J7" s="67">
        <v>0</v>
      </c>
      <c r="K7" s="67"/>
      <c r="L7" s="65">
        <f>H7+J7</f>
        <v>0</v>
      </c>
      <c r="M7" s="68"/>
      <c r="N7" s="69"/>
    </row>
    <row r="8" spans="1:14" ht="23.25" customHeight="1">
      <c r="A8" s="198" t="s">
        <v>5</v>
      </c>
      <c r="B8" s="433">
        <v>1327</v>
      </c>
      <c r="C8" s="66"/>
      <c r="D8" s="67">
        <v>360</v>
      </c>
      <c r="E8" s="67"/>
      <c r="F8" s="65">
        <v>1687</v>
      </c>
      <c r="G8" s="68"/>
      <c r="H8" s="76">
        <v>1324</v>
      </c>
      <c r="I8" s="66"/>
      <c r="J8" s="67">
        <v>371</v>
      </c>
      <c r="K8" s="67"/>
      <c r="L8" s="65">
        <f>H8+J8</f>
        <v>1695</v>
      </c>
      <c r="M8" s="68"/>
      <c r="N8" s="69"/>
    </row>
    <row r="9" spans="1:14" ht="23.25" customHeight="1">
      <c r="A9" s="198" t="s">
        <v>6</v>
      </c>
      <c r="B9" s="433">
        <v>8400</v>
      </c>
      <c r="C9" s="66"/>
      <c r="D9" s="67">
        <v>7130</v>
      </c>
      <c r="E9" s="67"/>
      <c r="F9" s="65">
        <v>15530</v>
      </c>
      <c r="G9" s="68"/>
      <c r="H9" s="76">
        <v>7985</v>
      </c>
      <c r="I9" s="66"/>
      <c r="J9" s="67">
        <v>5987</v>
      </c>
      <c r="K9" s="67"/>
      <c r="L9" s="65">
        <f>H9+J9</f>
        <v>13972</v>
      </c>
      <c r="M9" s="68"/>
      <c r="N9" s="69"/>
    </row>
    <row r="10" spans="1:13" ht="23.25" customHeight="1">
      <c r="A10" s="199" t="s">
        <v>41</v>
      </c>
      <c r="B10" s="434">
        <v>896</v>
      </c>
      <c r="C10" s="71"/>
      <c r="D10" s="276">
        <v>391</v>
      </c>
      <c r="E10" s="277"/>
      <c r="F10" s="72">
        <v>1287</v>
      </c>
      <c r="G10" s="73"/>
      <c r="H10" s="246">
        <v>928</v>
      </c>
      <c r="I10" s="71"/>
      <c r="J10" s="276">
        <v>235</v>
      </c>
      <c r="K10" s="277"/>
      <c r="L10" s="276">
        <v>1163</v>
      </c>
      <c r="M10" s="73"/>
    </row>
    <row r="11" spans="1:13" ht="23.25" customHeight="1">
      <c r="A11" s="199" t="s">
        <v>42</v>
      </c>
      <c r="B11" s="434">
        <v>7504</v>
      </c>
      <c r="C11" s="71"/>
      <c r="D11" s="70">
        <v>6739</v>
      </c>
      <c r="E11" s="71"/>
      <c r="F11" s="74">
        <v>14243</v>
      </c>
      <c r="G11" s="73"/>
      <c r="H11" s="246">
        <v>7057</v>
      </c>
      <c r="I11" s="71"/>
      <c r="J11" s="70">
        <v>5752</v>
      </c>
      <c r="K11" s="71"/>
      <c r="L11" s="70">
        <v>12809</v>
      </c>
      <c r="M11" s="73"/>
    </row>
    <row r="12" spans="1:13" ht="23.25" customHeight="1">
      <c r="A12" s="198" t="s">
        <v>9</v>
      </c>
      <c r="B12" s="433">
        <v>2</v>
      </c>
      <c r="C12" s="66"/>
      <c r="D12" s="67">
        <v>1</v>
      </c>
      <c r="E12" s="67"/>
      <c r="F12" s="65">
        <v>3</v>
      </c>
      <c r="G12" s="68"/>
      <c r="H12" s="76">
        <v>1</v>
      </c>
      <c r="I12" s="66"/>
      <c r="J12" s="67">
        <v>1</v>
      </c>
      <c r="K12" s="67"/>
      <c r="L12" s="65">
        <f aca="true" t="shared" si="0" ref="L12:L19">H12+J12</f>
        <v>2</v>
      </c>
      <c r="M12" s="68"/>
    </row>
    <row r="13" spans="1:13" ht="23.25" customHeight="1">
      <c r="A13" s="198" t="s">
        <v>10</v>
      </c>
      <c r="B13" s="433">
        <v>10</v>
      </c>
      <c r="C13" s="66"/>
      <c r="D13" s="67">
        <v>1</v>
      </c>
      <c r="E13" s="67"/>
      <c r="F13" s="65">
        <v>11</v>
      </c>
      <c r="G13" s="68"/>
      <c r="H13" s="76">
        <v>12</v>
      </c>
      <c r="I13" s="66"/>
      <c r="J13" s="67">
        <v>2</v>
      </c>
      <c r="K13" s="67"/>
      <c r="L13" s="65">
        <f t="shared" si="0"/>
        <v>14</v>
      </c>
      <c r="M13" s="68"/>
    </row>
    <row r="14" spans="1:13" ht="23.25" customHeight="1">
      <c r="A14" s="198" t="s">
        <v>11</v>
      </c>
      <c r="B14" s="433">
        <v>0</v>
      </c>
      <c r="C14" s="66"/>
      <c r="D14" s="67">
        <v>1</v>
      </c>
      <c r="E14" s="67"/>
      <c r="F14" s="65">
        <v>1</v>
      </c>
      <c r="G14" s="68"/>
      <c r="H14" s="76">
        <v>0</v>
      </c>
      <c r="I14" s="66"/>
      <c r="J14" s="67">
        <v>1</v>
      </c>
      <c r="K14" s="67"/>
      <c r="L14" s="65">
        <f t="shared" si="0"/>
        <v>1</v>
      </c>
      <c r="M14" s="68"/>
    </row>
    <row r="15" spans="1:13" ht="23.25" customHeight="1">
      <c r="A15" s="198" t="s">
        <v>12</v>
      </c>
      <c r="B15" s="433">
        <v>15</v>
      </c>
      <c r="C15" s="66"/>
      <c r="D15" s="67">
        <v>0</v>
      </c>
      <c r="E15" s="67"/>
      <c r="F15" s="65">
        <v>15</v>
      </c>
      <c r="G15" s="68"/>
      <c r="H15" s="76">
        <v>31</v>
      </c>
      <c r="I15" s="66"/>
      <c r="J15" s="67">
        <v>1</v>
      </c>
      <c r="K15" s="67"/>
      <c r="L15" s="65">
        <f t="shared" si="0"/>
        <v>32</v>
      </c>
      <c r="M15" s="68"/>
    </row>
    <row r="16" spans="1:13" ht="23.25" customHeight="1">
      <c r="A16" s="198" t="s">
        <v>13</v>
      </c>
      <c r="B16" s="433">
        <v>4</v>
      </c>
      <c r="C16" s="66"/>
      <c r="D16" s="67">
        <v>2</v>
      </c>
      <c r="E16" s="67"/>
      <c r="F16" s="65">
        <v>6</v>
      </c>
      <c r="G16" s="68"/>
      <c r="H16" s="76">
        <v>4</v>
      </c>
      <c r="I16" s="66"/>
      <c r="J16" s="67">
        <v>3</v>
      </c>
      <c r="K16" s="67"/>
      <c r="L16" s="65">
        <f t="shared" si="0"/>
        <v>7</v>
      </c>
      <c r="M16" s="68"/>
    </row>
    <row r="17" spans="1:13" ht="23.25" customHeight="1">
      <c r="A17" s="198" t="s">
        <v>62</v>
      </c>
      <c r="B17" s="433">
        <v>54</v>
      </c>
      <c r="C17" s="66"/>
      <c r="D17" s="67">
        <v>4</v>
      </c>
      <c r="E17" s="67"/>
      <c r="F17" s="65">
        <v>58</v>
      </c>
      <c r="G17" s="68"/>
      <c r="H17" s="76">
        <v>46</v>
      </c>
      <c r="I17" s="66"/>
      <c r="J17" s="67">
        <v>3</v>
      </c>
      <c r="K17" s="67"/>
      <c r="L17" s="65">
        <f t="shared" si="0"/>
        <v>49</v>
      </c>
      <c r="M17" s="68"/>
    </row>
    <row r="18" spans="1:13" ht="23.25" customHeight="1">
      <c r="A18" s="198" t="s">
        <v>63</v>
      </c>
      <c r="B18" s="433">
        <v>16</v>
      </c>
      <c r="C18" s="66"/>
      <c r="D18" s="67">
        <v>2</v>
      </c>
      <c r="E18" s="67"/>
      <c r="F18" s="65">
        <v>18</v>
      </c>
      <c r="G18" s="68"/>
      <c r="H18" s="76">
        <v>0</v>
      </c>
      <c r="I18" s="66"/>
      <c r="J18" s="67">
        <v>0</v>
      </c>
      <c r="K18" s="67"/>
      <c r="L18" s="65">
        <f t="shared" si="0"/>
        <v>0</v>
      </c>
      <c r="M18" s="68"/>
    </row>
    <row r="19" spans="1:13" ht="23.25" customHeight="1">
      <c r="A19" s="198" t="s">
        <v>64</v>
      </c>
      <c r="B19" s="433">
        <v>80</v>
      </c>
      <c r="C19" s="66"/>
      <c r="D19" s="67">
        <v>7</v>
      </c>
      <c r="E19" s="67"/>
      <c r="F19" s="65">
        <v>87</v>
      </c>
      <c r="G19" s="68"/>
      <c r="H19" s="76">
        <v>111</v>
      </c>
      <c r="I19" s="66"/>
      <c r="J19" s="67">
        <v>10</v>
      </c>
      <c r="K19" s="67"/>
      <c r="L19" s="65">
        <f t="shared" si="0"/>
        <v>121</v>
      </c>
      <c r="M19" s="68"/>
    </row>
    <row r="20" spans="1:13" ht="4.5" customHeight="1" thickBot="1">
      <c r="A20" s="199"/>
      <c r="B20" s="433"/>
      <c r="C20" s="66"/>
      <c r="D20" s="75"/>
      <c r="E20" s="76"/>
      <c r="F20" s="65"/>
      <c r="G20" s="68"/>
      <c r="H20" s="76"/>
      <c r="I20" s="66"/>
      <c r="J20" s="75"/>
      <c r="K20" s="76"/>
      <c r="L20" s="65"/>
      <c r="M20" s="68"/>
    </row>
    <row r="21" spans="1:15" ht="43.5" customHeight="1" thickBot="1">
      <c r="A21" s="200" t="s">
        <v>17</v>
      </c>
      <c r="B21" s="247">
        <v>10109</v>
      </c>
      <c r="C21" s="279"/>
      <c r="D21" s="33">
        <v>8339</v>
      </c>
      <c r="E21" s="33"/>
      <c r="F21" s="25">
        <v>18448</v>
      </c>
      <c r="G21" s="34"/>
      <c r="H21" s="247">
        <f>SUM(H6:H9,H12:H19)</f>
        <v>9770</v>
      </c>
      <c r="I21" s="33"/>
      <c r="J21" s="25">
        <f>SUM(J6:J9,J12:J19)</f>
        <v>7255</v>
      </c>
      <c r="K21" s="279"/>
      <c r="L21" s="33">
        <f>SUM(L6:L9,L12:L19)</f>
        <v>17025</v>
      </c>
      <c r="M21" s="34"/>
      <c r="O21" s="69"/>
    </row>
    <row r="22" spans="2:3" ht="12.75">
      <c r="B22" s="77"/>
      <c r="C22" s="77"/>
    </row>
    <row r="23" spans="1:3" ht="12.75">
      <c r="A23" s="213" t="s">
        <v>74</v>
      </c>
      <c r="B23" s="77"/>
      <c r="C23" s="77"/>
    </row>
    <row r="24" spans="2:3" ht="12.75">
      <c r="B24" s="77"/>
      <c r="C24" s="77"/>
    </row>
    <row r="25" spans="2:3" ht="12.75">
      <c r="B25" s="77"/>
      <c r="C25" s="77"/>
    </row>
    <row r="26" spans="2:3" ht="12.75">
      <c r="B26" s="77"/>
      <c r="C26" s="77"/>
    </row>
  </sheetData>
  <sheetProtection/>
  <mergeCells count="1">
    <mergeCell ref="A3:A5"/>
  </mergeCells>
  <printOptions horizontalCentered="1" verticalCentered="1"/>
  <pageMargins left="0.6692913385826772" right="0" top="0.3937007874015748" bottom="0.5118110236220472" header="0.5118110236220472" footer="0.31496062992125984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27"/>
  <sheetViews>
    <sheetView zoomScalePageLayoutView="0" workbookViewId="0" topLeftCell="A1">
      <selection activeCell="A17" sqref="A17"/>
    </sheetView>
  </sheetViews>
  <sheetFormatPr defaultColWidth="8.8515625" defaultRowHeight="12.75"/>
  <cols>
    <col min="1" max="1" width="3.140625" style="313" customWidth="1"/>
    <col min="2" max="2" width="38.140625" style="313" customWidth="1"/>
    <col min="3" max="9" width="12.7109375" style="313" customWidth="1"/>
    <col min="10" max="16384" width="8.8515625" style="313" customWidth="1"/>
  </cols>
  <sheetData>
    <row r="1" spans="1:4" ht="22.5" customHeight="1">
      <c r="A1" s="311" t="s">
        <v>231</v>
      </c>
      <c r="B1" s="312"/>
      <c r="C1" s="312"/>
      <c r="D1" s="312"/>
    </row>
    <row r="2" spans="1:4" ht="12.75" customHeight="1">
      <c r="A2" s="314"/>
      <c r="B2" s="315"/>
      <c r="C2" s="315"/>
      <c r="D2" s="315"/>
    </row>
    <row r="3" spans="1:9" s="318" customFormat="1" ht="18.75" customHeight="1">
      <c r="A3" s="316"/>
      <c r="B3" s="317"/>
      <c r="C3" s="317"/>
      <c r="D3" s="317"/>
      <c r="I3" s="471" t="s">
        <v>77</v>
      </c>
    </row>
    <row r="4" spans="1:4" s="318" customFormat="1" ht="11.25" customHeight="1" thickBot="1">
      <c r="A4" s="316"/>
      <c r="B4" s="317"/>
      <c r="C4" s="317"/>
      <c r="D4" s="317"/>
    </row>
    <row r="5" spans="1:9" s="318" customFormat="1" ht="24.75" customHeight="1">
      <c r="A5" s="435"/>
      <c r="B5" s="436"/>
      <c r="C5" s="640" t="s">
        <v>210</v>
      </c>
      <c r="D5" s="643" t="s">
        <v>176</v>
      </c>
      <c r="E5" s="642" t="s">
        <v>176</v>
      </c>
      <c r="F5" s="642"/>
      <c r="G5" s="642"/>
      <c r="H5" s="642"/>
      <c r="I5" s="456" t="s">
        <v>211</v>
      </c>
    </row>
    <row r="6" spans="1:9" s="318" customFormat="1" ht="24.75" customHeight="1" thickBot="1">
      <c r="A6" s="437"/>
      <c r="B6" s="443"/>
      <c r="C6" s="641"/>
      <c r="D6" s="644"/>
      <c r="E6" s="553" t="s">
        <v>78</v>
      </c>
      <c r="F6" s="554" t="s">
        <v>79</v>
      </c>
      <c r="G6" s="554" t="s">
        <v>80</v>
      </c>
      <c r="H6" s="555" t="s">
        <v>81</v>
      </c>
      <c r="I6" s="556" t="s">
        <v>78</v>
      </c>
    </row>
    <row r="7" spans="1:9" s="318" customFormat="1" ht="35.25" customHeight="1">
      <c r="A7" s="438"/>
      <c r="B7" s="322" t="s">
        <v>82</v>
      </c>
      <c r="C7" s="447">
        <v>37840</v>
      </c>
      <c r="D7" s="448">
        <f>SUM(E7:H7)</f>
        <v>34932</v>
      </c>
      <c r="E7" s="326">
        <v>7693</v>
      </c>
      <c r="F7" s="325">
        <f>8990+32</f>
        <v>9022</v>
      </c>
      <c r="G7" s="325">
        <v>8795</v>
      </c>
      <c r="H7" s="453">
        <f>9277+145</f>
        <v>9422</v>
      </c>
      <c r="I7" s="457">
        <f>7688+141</f>
        <v>7829</v>
      </c>
    </row>
    <row r="8" spans="1:9" s="318" customFormat="1" ht="22.5" customHeight="1">
      <c r="A8" s="439"/>
      <c r="B8" s="324"/>
      <c r="C8" s="447"/>
      <c r="D8" s="448"/>
      <c r="E8" s="445"/>
      <c r="F8" s="327"/>
      <c r="G8" s="327"/>
      <c r="H8" s="323"/>
      <c r="I8" s="458"/>
    </row>
    <row r="9" spans="1:9" s="318" customFormat="1" ht="39.75" customHeight="1">
      <c r="A9" s="438"/>
      <c r="B9" s="322" t="s">
        <v>83</v>
      </c>
      <c r="C9" s="447">
        <v>21036</v>
      </c>
      <c r="D9" s="448">
        <f>SUM(E9:H9)</f>
        <v>19896</v>
      </c>
      <c r="E9" s="326">
        <v>5834</v>
      </c>
      <c r="F9" s="325">
        <f>4656+84</f>
        <v>4740</v>
      </c>
      <c r="G9" s="325">
        <v>4702</v>
      </c>
      <c r="H9" s="453">
        <f>4337+283</f>
        <v>4620</v>
      </c>
      <c r="I9" s="457">
        <f>3505+279</f>
        <v>3784</v>
      </c>
    </row>
    <row r="10" spans="1:9" s="318" customFormat="1" ht="39.75" customHeight="1">
      <c r="A10" s="439"/>
      <c r="B10" s="328" t="s">
        <v>84</v>
      </c>
      <c r="C10" s="449">
        <v>18269</v>
      </c>
      <c r="D10" s="450">
        <f>SUM(E10:H10)</f>
        <v>18764</v>
      </c>
      <c r="E10" s="330">
        <v>5494</v>
      </c>
      <c r="F10" s="329">
        <f>F9-F11</f>
        <v>4494</v>
      </c>
      <c r="G10" s="329">
        <f>G9-G11</f>
        <v>4482</v>
      </c>
      <c r="H10" s="454">
        <f>H9-H11</f>
        <v>4294</v>
      </c>
      <c r="I10" s="459">
        <f>I9-I11</f>
        <v>3626</v>
      </c>
    </row>
    <row r="11" spans="1:9" s="318" customFormat="1" ht="39.75" customHeight="1">
      <c r="A11" s="439"/>
      <c r="B11" s="331" t="s">
        <v>85</v>
      </c>
      <c r="C11" s="449">
        <v>2767</v>
      </c>
      <c r="D11" s="450">
        <f>SUM(E11:H11)</f>
        <v>1132</v>
      </c>
      <c r="E11" s="330">
        <v>340</v>
      </c>
      <c r="F11" s="329">
        <f>224+22</f>
        <v>246</v>
      </c>
      <c r="G11" s="329">
        <v>220</v>
      </c>
      <c r="H11" s="454">
        <f>314+12</f>
        <v>326</v>
      </c>
      <c r="I11" s="460">
        <f>129+29</f>
        <v>158</v>
      </c>
    </row>
    <row r="12" spans="1:9" s="318" customFormat="1" ht="23.25" customHeight="1" thickBot="1">
      <c r="A12" s="439"/>
      <c r="B12" s="332"/>
      <c r="C12" s="462"/>
      <c r="D12" s="451"/>
      <c r="E12" s="445"/>
      <c r="F12" s="327"/>
      <c r="G12" s="327"/>
      <c r="H12" s="323"/>
      <c r="I12" s="458"/>
    </row>
    <row r="13" spans="1:9" s="318" customFormat="1" ht="39.75" customHeight="1">
      <c r="A13" s="463" t="s">
        <v>86</v>
      </c>
      <c r="B13" s="464"/>
      <c r="C13" s="465">
        <v>16804</v>
      </c>
      <c r="D13" s="466">
        <f>SUM(E13:H13)</f>
        <v>15036</v>
      </c>
      <c r="E13" s="467">
        <v>1859</v>
      </c>
      <c r="F13" s="468">
        <f>F7-F9</f>
        <v>4282</v>
      </c>
      <c r="G13" s="468">
        <f>G7-G9</f>
        <v>4093</v>
      </c>
      <c r="H13" s="469">
        <f>H7-H9</f>
        <v>4802</v>
      </c>
      <c r="I13" s="470">
        <f>I7-I9</f>
        <v>4045</v>
      </c>
    </row>
    <row r="14" spans="1:9" s="318" customFormat="1" ht="39.75" customHeight="1" thickBot="1">
      <c r="A14" s="440" t="s">
        <v>87</v>
      </c>
      <c r="B14" s="444"/>
      <c r="C14" s="452">
        <v>44.40803382663848</v>
      </c>
      <c r="D14" s="442">
        <f>D13/D7*100</f>
        <v>43.04362761937479</v>
      </c>
      <c r="E14" s="446">
        <v>24.164825165735085</v>
      </c>
      <c r="F14" s="441">
        <f>F13/F7*100</f>
        <v>47.461760141875416</v>
      </c>
      <c r="G14" s="441">
        <f>G13/G7*100</f>
        <v>46.537805571347356</v>
      </c>
      <c r="H14" s="455">
        <f>H13/H7*100</f>
        <v>50.965824665676074</v>
      </c>
      <c r="I14" s="461">
        <f>I13/I7*100</f>
        <v>51.66687955038958</v>
      </c>
    </row>
    <row r="15" s="318" customFormat="1" ht="9" customHeight="1"/>
    <row r="16" spans="1:4" s="318" customFormat="1" ht="17.25" customHeight="1">
      <c r="A16" s="333" t="s">
        <v>177</v>
      </c>
      <c r="B16" s="334"/>
      <c r="C16" s="334"/>
      <c r="D16" s="334"/>
    </row>
    <row r="17" spans="1:4" s="318" customFormat="1" ht="12" customHeight="1">
      <c r="A17" s="213" t="s">
        <v>74</v>
      </c>
      <c r="B17" s="334"/>
      <c r="C17" s="334"/>
      <c r="D17" s="334"/>
    </row>
    <row r="18" spans="1:4" s="318" customFormat="1" ht="15">
      <c r="A18" s="334"/>
      <c r="B18" s="334"/>
      <c r="C18" s="334"/>
      <c r="D18" s="334"/>
    </row>
    <row r="19" spans="1:4" ht="12.75">
      <c r="A19" s="335"/>
      <c r="B19" s="335"/>
      <c r="C19" s="335"/>
      <c r="D19" s="335"/>
    </row>
    <row r="20" spans="1:4" ht="12.75">
      <c r="A20" s="335"/>
      <c r="B20" s="335"/>
      <c r="C20" s="335"/>
      <c r="D20" s="335"/>
    </row>
    <row r="21" spans="1:4" ht="12.75">
      <c r="A21" s="335"/>
      <c r="B21" s="335"/>
      <c r="C21" s="335"/>
      <c r="D21" s="335"/>
    </row>
    <row r="22" spans="1:4" ht="12.75">
      <c r="A22" s="335"/>
      <c r="B22" s="335"/>
      <c r="C22" s="335"/>
      <c r="D22" s="335"/>
    </row>
    <row r="23" spans="1:4" ht="12.75">
      <c r="A23" s="335"/>
      <c r="B23" s="335"/>
      <c r="C23" s="335"/>
      <c r="D23" s="335"/>
    </row>
    <row r="24" spans="1:4" ht="12.75">
      <c r="A24" s="335"/>
      <c r="B24" s="335"/>
      <c r="C24" s="335"/>
      <c r="D24" s="335"/>
    </row>
    <row r="25" spans="1:4" ht="12.75">
      <c r="A25" s="335"/>
      <c r="B25" s="335"/>
      <c r="C25" s="335"/>
      <c r="D25" s="335"/>
    </row>
    <row r="26" spans="1:4" ht="12.75">
      <c r="A26" s="335"/>
      <c r="B26" s="335"/>
      <c r="C26" s="335"/>
      <c r="D26" s="335"/>
    </row>
    <row r="27" spans="2:4" ht="12.75">
      <c r="B27" s="335"/>
      <c r="C27" s="335"/>
      <c r="D27" s="335"/>
    </row>
  </sheetData>
  <sheetProtection/>
  <mergeCells count="3">
    <mergeCell ref="C5:C6"/>
    <mergeCell ref="E5:H5"/>
    <mergeCell ref="D5:D6"/>
  </mergeCells>
  <printOptions/>
  <pageMargins left="0.71" right="0.35" top="0.91" bottom="0.9" header="0.5" footer="0.5"/>
  <pageSetup fitToHeight="1" fitToWidth="1"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</dc:creator>
  <cp:keywords/>
  <dc:description/>
  <cp:lastModifiedBy>computer</cp:lastModifiedBy>
  <cp:lastPrinted>2009-06-15T09:52:29Z</cp:lastPrinted>
  <dcterms:created xsi:type="dcterms:W3CDTF">1999-09-24T05:14:44Z</dcterms:created>
  <dcterms:modified xsi:type="dcterms:W3CDTF">2009-06-29T11:29:51Z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Conta">
    <vt:lpwstr/>
  </property>
  <property fmtid="{D5CDD505-2E9C-101B-9397-08002B2CF9AE}" pid="4" name="xd_Signatu">
    <vt:lpwstr/>
  </property>
  <property fmtid="{D5CDD505-2E9C-101B-9397-08002B2CF9AE}" pid="5" name="TemplateU">
    <vt:lpwstr/>
  </property>
  <property fmtid="{D5CDD505-2E9C-101B-9397-08002B2CF9AE}" pid="6" name="PublishingRollupIma">
    <vt:lpwstr/>
  </property>
  <property fmtid="{D5CDD505-2E9C-101B-9397-08002B2CF9AE}" pid="7" name="Audien">
    <vt:lpwstr/>
  </property>
  <property fmtid="{D5CDD505-2E9C-101B-9397-08002B2CF9AE}" pid="8" name="Ord">
    <vt:lpwstr>200400.000000000</vt:lpwstr>
  </property>
  <property fmtid="{D5CDD505-2E9C-101B-9397-08002B2CF9AE}" pid="9" name="xd_Prog">
    <vt:lpwstr/>
  </property>
  <property fmtid="{D5CDD505-2E9C-101B-9397-08002B2CF9AE}" pid="10" name="PublishingStartDa">
    <vt:lpwstr/>
  </property>
  <property fmtid="{D5CDD505-2E9C-101B-9397-08002B2CF9AE}" pid="11" name="PublishingExpirationDa">
    <vt:lpwstr/>
  </property>
  <property fmtid="{D5CDD505-2E9C-101B-9397-08002B2CF9AE}" pid="12" name="PublishingContactPictu">
    <vt:lpwstr/>
  </property>
  <property fmtid="{D5CDD505-2E9C-101B-9397-08002B2CF9AE}" pid="13" name="PublishingVariationGroup">
    <vt:lpwstr/>
  </property>
  <property fmtid="{D5CDD505-2E9C-101B-9397-08002B2CF9AE}" pid="14" name="PublishingVariationRelationshipLinkField">
    <vt:lpwstr/>
  </property>
  <property fmtid="{D5CDD505-2E9C-101B-9397-08002B2CF9AE}" pid="15" name="PublishingContactNa">
    <vt:lpwstr/>
  </property>
  <property fmtid="{D5CDD505-2E9C-101B-9397-08002B2CF9AE}" pid="16" name="_SourceU">
    <vt:lpwstr/>
  </property>
  <property fmtid="{D5CDD505-2E9C-101B-9397-08002B2CF9AE}" pid="17" name="_SharedFileInd">
    <vt:lpwstr/>
  </property>
  <property fmtid="{D5CDD505-2E9C-101B-9397-08002B2CF9AE}" pid="18" name="Commen">
    <vt:lpwstr/>
  </property>
  <property fmtid="{D5CDD505-2E9C-101B-9397-08002B2CF9AE}" pid="19" name="PublishingContactEma">
    <vt:lpwstr/>
  </property>
  <property fmtid="{D5CDD505-2E9C-101B-9397-08002B2CF9AE}" pid="20" name="PublishingPageLayo">
    <vt:lpwstr/>
  </property>
</Properties>
</file>