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t1" sheetId="1" r:id="rId1"/>
    <sheet name="t2a" sheetId="2" r:id="rId2"/>
    <sheet name="t2b" sheetId="3" r:id="rId3"/>
    <sheet name="t2c" sheetId="4" r:id="rId4"/>
    <sheet name="t3" sheetId="5" r:id="rId5"/>
    <sheet name="t4" sheetId="6" r:id="rId6"/>
    <sheet name="t5" sheetId="7" r:id="rId7"/>
    <sheet name="t6" sheetId="8" r:id="rId8"/>
  </sheets>
  <definedNames/>
  <calcPr fullCalcOnLoad="1"/>
</workbook>
</file>

<file path=xl/comments7.xml><?xml version="1.0" encoding="utf-8"?>
<comments xmlns="http://schemas.openxmlformats.org/spreadsheetml/2006/main">
  <authors>
    <author>er</author>
  </authors>
  <commentList>
    <comment ref="C22" authorId="0">
      <text>
        <r>
          <rPr>
            <b/>
            <sz val="8"/>
            <rFont val="Tahoma"/>
            <family val="0"/>
          </rPr>
          <t>er:</t>
        </r>
        <r>
          <rPr>
            <sz val="8"/>
            <rFont val="Tahoma"/>
            <family val="0"/>
          </rPr>
          <t xml:space="preserve">
State Land Dev. Coded as private instead of public</t>
        </r>
      </text>
    </comment>
  </commentList>
</comments>
</file>

<file path=xl/sharedStrings.xml><?xml version="1.0" encoding="utf-8"?>
<sst xmlns="http://schemas.openxmlformats.org/spreadsheetml/2006/main" count="274" uniqueCount="99">
  <si>
    <t>Table 1 - Employment in large establishments by industrial group and sex, March 2005 - March 2006</t>
  </si>
  <si>
    <t xml:space="preserve">  </t>
  </si>
  <si>
    <r>
      <t>March 2005</t>
    </r>
    <r>
      <rPr>
        <vertAlign val="superscript"/>
        <sz val="10"/>
        <rFont val="Times New Roman"/>
        <family val="1"/>
      </rPr>
      <t>1</t>
    </r>
  </si>
  <si>
    <r>
      <t>March 2006</t>
    </r>
    <r>
      <rPr>
        <vertAlign val="superscript"/>
        <sz val="10"/>
        <rFont val="Times New Roman"/>
        <family val="1"/>
      </rPr>
      <t xml:space="preserve"> 2</t>
    </r>
  </si>
  <si>
    <t>Diff. (March 06 - March 05 )</t>
  </si>
  <si>
    <t>Industrial group</t>
  </si>
  <si>
    <t>Male</t>
  </si>
  <si>
    <t>Female</t>
  </si>
  <si>
    <t>Both</t>
  </si>
  <si>
    <t xml:space="preserve"> </t>
  </si>
  <si>
    <t>Sexes</t>
  </si>
  <si>
    <t>Agriculture, forestry and fishing</t>
  </si>
  <si>
    <t xml:space="preserve">          Sugarcane</t>
  </si>
  <si>
    <t xml:space="preserve">          Other</t>
  </si>
  <si>
    <t>Mining and quarrying</t>
  </si>
  <si>
    <t>Manufacturing</t>
  </si>
  <si>
    <t xml:space="preserve">          Sugar</t>
  </si>
  <si>
    <t xml:space="preserve">          EPZ products</t>
  </si>
  <si>
    <t>Electricity, gas and water</t>
  </si>
  <si>
    <t>Construction</t>
  </si>
  <si>
    <t>Wholesale &amp; retail trade; repair of motor vehicles,</t>
  </si>
  <si>
    <t xml:space="preserve"> motorcycles, personal and household goods</t>
  </si>
  <si>
    <t xml:space="preserve">         Wholesale &amp; retail trade</t>
  </si>
  <si>
    <t xml:space="preserve">         Other</t>
  </si>
  <si>
    <t>Hotels and restaurants</t>
  </si>
  <si>
    <t>Transport, storage and communications</t>
  </si>
  <si>
    <t xml:space="preserve">Financial intermediation </t>
  </si>
  <si>
    <t xml:space="preserve">         Insurance</t>
  </si>
  <si>
    <t>Real estate, renting and business activities</t>
  </si>
  <si>
    <t>Public administration and defence; compulsory social</t>
  </si>
  <si>
    <t>security</t>
  </si>
  <si>
    <t>Education</t>
  </si>
  <si>
    <t>Health and social work</t>
  </si>
  <si>
    <t>Other services</t>
  </si>
  <si>
    <t>Total</t>
  </si>
  <si>
    <r>
      <t>1</t>
    </r>
    <r>
      <rPr>
        <sz val="10"/>
        <rFont val="Times New Roman"/>
        <family val="1"/>
      </rPr>
      <t xml:space="preserve">  Revised                        </t>
    </r>
    <r>
      <rPr>
        <vertAlign val="superscript"/>
        <sz val="10"/>
        <rFont val="Times New Roman"/>
        <family val="1"/>
      </rPr>
      <t xml:space="preserve">  2</t>
    </r>
    <r>
      <rPr>
        <sz val="10"/>
        <rFont val="Times New Roman"/>
        <family val="1"/>
      </rPr>
      <t xml:space="preserve">   Provisional</t>
    </r>
  </si>
  <si>
    <t>Table 2 - Employment in large establishments by sex and industrial group, March 2004 - March 2006</t>
  </si>
  <si>
    <t>Both sexes</t>
  </si>
  <si>
    <r>
      <t xml:space="preserve">March 2004 </t>
    </r>
    <r>
      <rPr>
        <vertAlign val="superscript"/>
        <sz val="10"/>
        <rFont val="Times New Roman"/>
        <family val="1"/>
      </rPr>
      <t>1</t>
    </r>
  </si>
  <si>
    <r>
      <t>March 2006</t>
    </r>
    <r>
      <rPr>
        <vertAlign val="superscript"/>
        <sz val="10"/>
        <rFont val="Times New Roman"/>
        <family val="1"/>
      </rPr>
      <t>2</t>
    </r>
  </si>
  <si>
    <t>motorcycles, personal and household goods</t>
  </si>
  <si>
    <t xml:space="preserve">            Wholesale &amp; retail trade</t>
  </si>
  <si>
    <t xml:space="preserve">            Other</t>
  </si>
  <si>
    <t xml:space="preserve">             Insurance</t>
  </si>
  <si>
    <t xml:space="preserve">             Other</t>
  </si>
  <si>
    <r>
      <t>1</t>
    </r>
    <r>
      <rPr>
        <sz val="10"/>
        <rFont val="Times New Roman"/>
        <family val="1"/>
      </rPr>
      <t xml:space="preserve"> Revised            </t>
    </r>
    <r>
      <rPr>
        <vertAlign val="superscript"/>
        <sz val="10"/>
        <rFont val="Times New Roman"/>
        <family val="1"/>
      </rPr>
      <t xml:space="preserve"> 2</t>
    </r>
    <r>
      <rPr>
        <sz val="10"/>
        <rFont val="Times New Roman"/>
        <family val="1"/>
      </rPr>
      <t xml:space="preserve">  Provisional</t>
    </r>
  </si>
  <si>
    <t>Table 2 (cont'd) - Employment in large establishments by sex and industrial group, March 2004- March 2006</t>
  </si>
  <si>
    <t>Agriculture,forestry and fishing</t>
  </si>
  <si>
    <t>1</t>
  </si>
  <si>
    <t>Provisional</t>
  </si>
  <si>
    <r>
      <t>March 2004</t>
    </r>
    <r>
      <rPr>
        <vertAlign val="superscript"/>
        <sz val="10"/>
        <rFont val="Times New Roman"/>
        <family val="1"/>
      </rPr>
      <t>1</t>
    </r>
  </si>
  <si>
    <t>Agriculture, hunting, forestry and fishing</t>
  </si>
  <si>
    <t>Table 3 -  Employment in the General Government  sector by industrial group and sex, March 2004 - March 2006</t>
  </si>
  <si>
    <r>
      <t>March 2003</t>
    </r>
    <r>
      <rPr>
        <vertAlign val="superscript"/>
        <sz val="10"/>
        <color indexed="8"/>
        <rFont val="Times New Roman"/>
        <family val="1"/>
      </rPr>
      <t xml:space="preserve"> 1</t>
    </r>
  </si>
  <si>
    <r>
      <t xml:space="preserve">March 2004 </t>
    </r>
    <r>
      <rPr>
        <vertAlign val="superscript"/>
        <sz val="10"/>
        <color indexed="8"/>
        <rFont val="Times New Roman"/>
        <family val="1"/>
      </rPr>
      <t>1</t>
    </r>
  </si>
  <si>
    <r>
      <t xml:space="preserve">March 2005 </t>
    </r>
    <r>
      <rPr>
        <vertAlign val="superscript"/>
        <sz val="10"/>
        <color indexed="8"/>
        <rFont val="Times New Roman"/>
        <family val="1"/>
      </rPr>
      <t>1</t>
    </r>
  </si>
  <si>
    <r>
      <t xml:space="preserve">March 2006 </t>
    </r>
    <r>
      <rPr>
        <vertAlign val="superscript"/>
        <sz val="10"/>
        <color indexed="8"/>
        <rFont val="Times New Roman"/>
        <family val="1"/>
      </rPr>
      <t>2</t>
    </r>
  </si>
  <si>
    <t>Both Sexes</t>
  </si>
  <si>
    <t>Wholesale and  retail trade; repair of motor vehicles</t>
  </si>
  <si>
    <t xml:space="preserve"> and motorcycles, personal and household goods</t>
  </si>
  <si>
    <t>Public administration and defence; compulsory social security</t>
  </si>
  <si>
    <t xml:space="preserve"> of which : Regional Government</t>
  </si>
  <si>
    <t xml:space="preserve">                    Local Government</t>
  </si>
  <si>
    <r>
      <t>1</t>
    </r>
    <r>
      <rPr>
        <sz val="10"/>
        <rFont val="Times New Roman"/>
        <family val="1"/>
      </rPr>
      <t xml:space="preserve"> Revised                  </t>
    </r>
    <r>
      <rPr>
        <vertAlign val="superscript"/>
        <sz val="10"/>
        <rFont val="Times New Roman"/>
        <family val="1"/>
      </rPr>
      <t xml:space="preserve"> 2</t>
    </r>
    <r>
      <rPr>
        <sz val="10"/>
        <rFont val="Times New Roman"/>
        <family val="1"/>
      </rPr>
      <t xml:space="preserve">  Provisional</t>
    </r>
  </si>
  <si>
    <t>Table 4  -  Employment  in large establishments of EPZ by industrial group and sex , March 2004 - March 2006</t>
  </si>
  <si>
    <t xml:space="preserve"> March 2003</t>
  </si>
  <si>
    <t xml:space="preserve"> March 2004</t>
  </si>
  <si>
    <t xml:space="preserve"> March 2005</t>
  </si>
  <si>
    <r>
      <t xml:space="preserve"> March 2006</t>
    </r>
    <r>
      <rPr>
        <vertAlign val="superscript"/>
        <sz val="10"/>
        <rFont val="Times New Roman"/>
        <family val="1"/>
      </rPr>
      <t>1</t>
    </r>
  </si>
  <si>
    <t>Industrial Group</t>
  </si>
  <si>
    <t>Food</t>
  </si>
  <si>
    <t>Textiles</t>
  </si>
  <si>
    <t>Wearing apparel (except footwear)</t>
  </si>
  <si>
    <t>Footwear and leather products</t>
  </si>
  <si>
    <t>Wood and furniture</t>
  </si>
  <si>
    <t>Medical, optical and photographic equipment</t>
  </si>
  <si>
    <t>Watches and clocks</t>
  </si>
  <si>
    <t>Jewellery &amp; related articles</t>
  </si>
  <si>
    <t>Paper products and printing and publishing</t>
  </si>
  <si>
    <t>Chemical and plastic products</t>
  </si>
  <si>
    <t>Other</t>
  </si>
  <si>
    <t>Non-manufacturing</t>
  </si>
  <si>
    <r>
      <t>Table 5  -  Average monthly earnings</t>
    </r>
    <r>
      <rPr>
        <b/>
        <vertAlign val="superscript"/>
        <sz val="10"/>
        <rFont val="Times New Roman"/>
        <family val="1"/>
      </rPr>
      <t>1</t>
    </r>
    <r>
      <rPr>
        <b/>
        <sz val="12"/>
        <rFont val="Times New Roman"/>
        <family val="1"/>
      </rPr>
      <t xml:space="preserve"> in large establishments by industrial group, March 2004 - March 2006</t>
    </r>
  </si>
  <si>
    <t>Rupees</t>
  </si>
  <si>
    <r>
      <t xml:space="preserve">March 2005 </t>
    </r>
    <r>
      <rPr>
        <vertAlign val="superscript"/>
        <sz val="10"/>
        <rFont val="Times New Roman"/>
        <family val="1"/>
      </rPr>
      <t>2</t>
    </r>
  </si>
  <si>
    <r>
      <t>March 2006</t>
    </r>
    <r>
      <rPr>
        <vertAlign val="superscript"/>
        <sz val="10"/>
        <rFont val="Times New Roman"/>
        <family val="1"/>
      </rPr>
      <t>3</t>
    </r>
  </si>
  <si>
    <t xml:space="preserve">          Sugarcane </t>
  </si>
  <si>
    <t xml:space="preserve">         Sugar</t>
  </si>
  <si>
    <t xml:space="preserve">         EPZ products</t>
  </si>
  <si>
    <t xml:space="preserve">          Wholesale &amp; retail trade</t>
  </si>
  <si>
    <t>Transport, storage and communication</t>
  </si>
  <si>
    <t xml:space="preserve">Earnings of daily, hourly and piece rate workers have been converted to a monthly basis </t>
  </si>
  <si>
    <t>Revised</t>
  </si>
  <si>
    <r>
      <t>Table 6 - Average monthly earnings</t>
    </r>
    <r>
      <rPr>
        <b/>
        <vertAlign val="superscript"/>
        <sz val="10"/>
        <rFont val="Times New Roman"/>
        <family val="1"/>
      </rPr>
      <t>1</t>
    </r>
    <r>
      <rPr>
        <b/>
        <sz val="12"/>
        <rFont val="Times New Roman"/>
        <family val="1"/>
      </rPr>
      <t xml:space="preserve"> in large establishments of  EPZ , March 2004 - March 2006</t>
    </r>
  </si>
  <si>
    <r>
      <t>March 2005</t>
    </r>
    <r>
      <rPr>
        <vertAlign val="superscript"/>
        <sz val="10"/>
        <rFont val="Times New Roman"/>
        <family val="1"/>
      </rPr>
      <t>2</t>
    </r>
  </si>
  <si>
    <t>Medical, optical and photographic equipement</t>
  </si>
  <si>
    <r>
      <t>1</t>
    </r>
    <r>
      <rPr>
        <sz val="10"/>
        <rFont val="Times New Roman"/>
        <family val="1"/>
      </rPr>
      <t xml:space="preserve"> earnings of daily, hourly and piece rate workers have been converted to a monthly basis </t>
    </r>
  </si>
  <si>
    <r>
      <t>2</t>
    </r>
    <r>
      <rPr>
        <sz val="10"/>
        <rFont val="Times New Roman"/>
        <family val="1"/>
      </rPr>
      <t xml:space="preserve"> Revised                       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>Provisional</t>
    </r>
  </si>
  <si>
    <r>
      <t xml:space="preserve">Revised              </t>
    </r>
    <r>
      <rPr>
        <vertAlign val="superscript"/>
        <sz val="10"/>
        <rFont val="Times New Roman"/>
        <family val="1"/>
      </rPr>
      <t xml:space="preserve"> 2</t>
    </r>
    <r>
      <rPr>
        <sz val="10"/>
        <rFont val="Times New Roman"/>
        <family val="1"/>
      </rPr>
      <t xml:space="preserve"> Provisional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</si>
</sst>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D_M_-;\-* #,##0\ _D_M_-;_-* &quot;-&quot;??\ _D_M_-;_-@_-"/>
    <numFmt numFmtId="165" formatCode="#,##0\ \ "/>
    <numFmt numFmtId="166" formatCode="\-\ \ "/>
    <numFmt numFmtId="167" formatCode="mmmm\ yyyy"/>
    <numFmt numFmtId="168" formatCode="#,##0\ \ \ \ \ \ \ \ \ \ \ \ \ \ \ \ \ \ \ "/>
    <numFmt numFmtId="169" formatCode="0.0"/>
  </numFmts>
  <fonts count="2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name val="MS Sans Serif"/>
      <family val="0"/>
    </font>
    <font>
      <i/>
      <u val="single"/>
      <sz val="10"/>
      <name val="Times New Roman"/>
      <family val="1"/>
    </font>
    <font>
      <u val="single"/>
      <sz val="10"/>
      <name val="Times New Roman"/>
      <family val="1"/>
    </font>
    <font>
      <vertAlign val="superscript"/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Helv"/>
      <family val="0"/>
    </font>
    <font>
      <b/>
      <u val="single"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Helv"/>
      <family val="0"/>
    </font>
    <font>
      <b/>
      <sz val="11"/>
      <name val="Times New Roman"/>
      <family val="0"/>
    </font>
    <font>
      <b/>
      <sz val="10"/>
      <name val="Times New Roman"/>
      <family val="0"/>
    </font>
    <font>
      <b/>
      <vertAlign val="superscript"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9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17" fontId="1" fillId="0" borderId="4" xfId="0" applyNumberFormat="1" applyFont="1" applyBorder="1" applyAlignment="1" quotePrefix="1">
      <alignment horizontal="centerContinuous"/>
    </xf>
    <xf numFmtId="17" fontId="1" fillId="0" borderId="5" xfId="0" applyNumberFormat="1" applyFont="1" applyBorder="1" applyAlignment="1" quotePrefix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17" fontId="1" fillId="0" borderId="7" xfId="0" applyNumberFormat="1" applyFont="1" applyBorder="1" applyAlignment="1" quotePrefix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Continuous" vertical="top"/>
    </xf>
    <xf numFmtId="0" fontId="1" fillId="0" borderId="14" xfId="0" applyFont="1" applyBorder="1" applyAlignment="1">
      <alignment horizontal="centerContinuous" vertical="top"/>
    </xf>
    <xf numFmtId="0" fontId="1" fillId="0" borderId="13" xfId="0" applyFont="1" applyBorder="1" applyAlignment="1">
      <alignment horizontal="centerContinuous" vertical="top"/>
    </xf>
    <xf numFmtId="0" fontId="3" fillId="0" borderId="2" xfId="0" applyFont="1" applyBorder="1" applyAlignment="1">
      <alignment/>
    </xf>
    <xf numFmtId="0" fontId="1" fillId="0" borderId="10" xfId="0" applyFont="1" applyBorder="1" applyAlignment="1">
      <alignment horizontal="left"/>
    </xf>
    <xf numFmtId="3" fontId="1" fillId="0" borderId="2" xfId="15" applyNumberFormat="1" applyFont="1" applyBorder="1" applyAlignment="1">
      <alignment/>
    </xf>
    <xf numFmtId="3" fontId="1" fillId="0" borderId="3" xfId="15" applyNumberFormat="1" applyFont="1" applyBorder="1" applyAlignment="1">
      <alignment horizontal="right"/>
    </xf>
    <xf numFmtId="3" fontId="1" fillId="0" borderId="3" xfId="15" applyNumberFormat="1" applyFont="1" applyBorder="1" applyAlignment="1">
      <alignment/>
    </xf>
    <xf numFmtId="3" fontId="1" fillId="0" borderId="0" xfId="15" applyNumberFormat="1" applyFont="1" applyBorder="1" applyAlignment="1">
      <alignment/>
    </xf>
    <xf numFmtId="3" fontId="1" fillId="0" borderId="10" xfId="15" applyNumberFormat="1" applyFont="1" applyBorder="1" applyAlignment="1">
      <alignment/>
    </xf>
    <xf numFmtId="3" fontId="1" fillId="0" borderId="9" xfId="15" applyNumberFormat="1" applyFont="1" applyBorder="1" applyAlignment="1">
      <alignment/>
    </xf>
    <xf numFmtId="3" fontId="6" fillId="0" borderId="15" xfId="15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8" fillId="0" borderId="0" xfId="0" applyFont="1" applyBorder="1" applyAlignment="1" quotePrefix="1">
      <alignment horizontal="left"/>
    </xf>
    <xf numFmtId="3" fontId="8" fillId="0" borderId="8" xfId="15" applyNumberFormat="1" applyFont="1" applyBorder="1" applyAlignment="1">
      <alignment horizontal="right"/>
    </xf>
    <xf numFmtId="3" fontId="8" fillId="0" borderId="9" xfId="15" applyNumberFormat="1" applyFont="1" applyBorder="1" applyAlignment="1">
      <alignment horizontal="right"/>
    </xf>
    <xf numFmtId="3" fontId="8" fillId="0" borderId="8" xfId="15" applyNumberFormat="1" applyFont="1" applyBorder="1" applyAlignment="1">
      <alignment/>
    </xf>
    <xf numFmtId="3" fontId="8" fillId="0" borderId="9" xfId="15" applyNumberFormat="1" applyFont="1" applyBorder="1" applyAlignment="1">
      <alignment/>
    </xf>
    <xf numFmtId="3" fontId="8" fillId="0" borderId="0" xfId="15" applyNumberFormat="1" applyFont="1" applyBorder="1" applyAlignment="1">
      <alignment horizontal="right"/>
    </xf>
    <xf numFmtId="3" fontId="7" fillId="0" borderId="9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8" xfId="0" applyFont="1" applyBorder="1" applyAlignment="1">
      <alignment/>
    </xf>
    <xf numFmtId="3" fontId="1" fillId="0" borderId="8" xfId="15" applyNumberFormat="1" applyFont="1" applyBorder="1" applyAlignment="1">
      <alignment horizontal="right"/>
    </xf>
    <xf numFmtId="3" fontId="1" fillId="0" borderId="9" xfId="15" applyNumberFormat="1" applyFont="1" applyBorder="1" applyAlignment="1">
      <alignment horizontal="right"/>
    </xf>
    <xf numFmtId="3" fontId="1" fillId="0" borderId="8" xfId="15" applyNumberFormat="1" applyFont="1" applyBorder="1" applyAlignment="1">
      <alignment/>
    </xf>
    <xf numFmtId="3" fontId="1" fillId="0" borderId="0" xfId="15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0" xfId="0" applyFont="1" applyAlignment="1">
      <alignment textRotation="180"/>
    </xf>
    <xf numFmtId="3" fontId="1" fillId="0" borderId="8" xfId="15" applyNumberFormat="1" applyFont="1" applyBorder="1" applyAlignment="1">
      <alignment/>
    </xf>
    <xf numFmtId="3" fontId="1" fillId="0" borderId="9" xfId="15" applyNumberFormat="1" applyFont="1" applyBorder="1" applyAlignment="1">
      <alignment/>
    </xf>
    <xf numFmtId="3" fontId="1" fillId="0" borderId="0" xfId="15" applyNumberFormat="1" applyFont="1" applyBorder="1" applyAlignment="1">
      <alignment/>
    </xf>
    <xf numFmtId="3" fontId="8" fillId="0" borderId="0" xfId="15" applyNumberFormat="1" applyFont="1" applyBorder="1" applyAlignment="1">
      <alignment/>
    </xf>
    <xf numFmtId="0" fontId="7" fillId="0" borderId="9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8" xfId="15" applyNumberFormat="1" applyFont="1" applyFill="1" applyBorder="1" applyAlignment="1">
      <alignment horizontal="right"/>
    </xf>
    <xf numFmtId="3" fontId="4" fillId="0" borderId="9" xfId="15" applyNumberFormat="1" applyFont="1" applyFill="1" applyBorder="1" applyAlignment="1">
      <alignment horizontal="right"/>
    </xf>
    <xf numFmtId="3" fontId="1" fillId="0" borderId="0" xfId="15" applyNumberFormat="1" applyFont="1" applyFill="1" applyBorder="1" applyAlignment="1">
      <alignment horizontal="right"/>
    </xf>
    <xf numFmtId="3" fontId="4" fillId="0" borderId="9" xfId="15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3" fontId="1" fillId="0" borderId="13" xfId="15" applyNumberFormat="1" applyFont="1" applyBorder="1" applyAlignment="1">
      <alignment horizontal="right"/>
    </xf>
    <xf numFmtId="3" fontId="1" fillId="0" borderId="12" xfId="15" applyNumberFormat="1" applyFont="1" applyBorder="1" applyAlignment="1">
      <alignment/>
    </xf>
    <xf numFmtId="3" fontId="1" fillId="0" borderId="13" xfId="15" applyNumberFormat="1" applyFont="1" applyBorder="1" applyAlignment="1">
      <alignment/>
    </xf>
    <xf numFmtId="3" fontId="1" fillId="0" borderId="1" xfId="15" applyNumberFormat="1" applyFont="1" applyBorder="1" applyAlignment="1">
      <alignment/>
    </xf>
    <xf numFmtId="3" fontId="6" fillId="0" borderId="16" xfId="15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2" xfId="15" applyNumberFormat="1" applyFont="1" applyBorder="1" applyAlignment="1">
      <alignment horizontal="right"/>
    </xf>
    <xf numFmtId="3" fontId="1" fillId="0" borderId="10" xfId="15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3" fillId="0" borderId="9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2" xfId="0" applyFont="1" applyBorder="1" applyAlignment="1">
      <alignment vertical="center"/>
    </xf>
    <xf numFmtId="0" fontId="8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10" fillId="0" borderId="8" xfId="0" applyFont="1" applyBorder="1" applyAlignment="1">
      <alignment/>
    </xf>
    <xf numFmtId="0" fontId="11" fillId="0" borderId="8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9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9" xfId="0" applyFont="1" applyBorder="1" applyAlignment="1">
      <alignment horizontal="center"/>
    </xf>
    <xf numFmtId="3" fontId="1" fillId="0" borderId="2" xfId="15" applyNumberFormat="1" applyFont="1" applyBorder="1" applyAlignment="1">
      <alignment vertical="center"/>
    </xf>
    <xf numFmtId="3" fontId="1" fillId="0" borderId="10" xfId="15" applyNumberFormat="1" applyFont="1" applyBorder="1" applyAlignment="1">
      <alignment horizontal="center" vertical="center"/>
    </xf>
    <xf numFmtId="3" fontId="1" fillId="0" borderId="10" xfId="15" applyNumberFormat="1" applyFont="1" applyBorder="1" applyAlignment="1">
      <alignment horizontal="left"/>
    </xf>
    <xf numFmtId="3" fontId="11" fillId="0" borderId="3" xfId="15" applyNumberFormat="1" applyFont="1" applyBorder="1" applyAlignment="1">
      <alignment horizontal="right"/>
    </xf>
    <xf numFmtId="3" fontId="8" fillId="0" borderId="0" xfId="15" applyNumberFormat="1" applyFont="1" applyBorder="1" applyAlignment="1" quotePrefix="1">
      <alignment horizontal="left"/>
    </xf>
    <xf numFmtId="3" fontId="8" fillId="0" borderId="0" xfId="15" applyNumberFormat="1" applyFont="1" applyAlignment="1">
      <alignment/>
    </xf>
    <xf numFmtId="3" fontId="8" fillId="0" borderId="0" xfId="15" applyNumberFormat="1" applyFont="1" applyBorder="1" applyAlignment="1">
      <alignment horizontal="left"/>
    </xf>
    <xf numFmtId="3" fontId="11" fillId="0" borderId="9" xfId="15" applyNumberFormat="1" applyFont="1" applyBorder="1" applyAlignment="1">
      <alignment/>
    </xf>
    <xf numFmtId="3" fontId="10" fillId="0" borderId="8" xfId="15" applyNumberFormat="1" applyFont="1" applyBorder="1" applyAlignment="1">
      <alignment/>
    </xf>
    <xf numFmtId="3" fontId="11" fillId="0" borderId="8" xfId="15" applyNumberFormat="1" applyFont="1" applyBorder="1" applyAlignment="1">
      <alignment/>
    </xf>
    <xf numFmtId="3" fontId="8" fillId="0" borderId="8" xfId="15" applyNumberFormat="1" applyFont="1" applyBorder="1" applyAlignment="1" quotePrefix="1">
      <alignment horizontal="right"/>
    </xf>
    <xf numFmtId="3" fontId="1" fillId="0" borderId="0" xfId="15" applyNumberFormat="1" applyFont="1" applyBorder="1" applyAlignment="1">
      <alignment horizontal="left"/>
    </xf>
    <xf numFmtId="3" fontId="1" fillId="0" borderId="8" xfId="15" applyNumberFormat="1" applyFont="1" applyBorder="1" applyAlignment="1" quotePrefix="1">
      <alignment horizontal="right"/>
    </xf>
    <xf numFmtId="3" fontId="1" fillId="0" borderId="8" xfId="15" applyNumberFormat="1" applyFont="1" applyBorder="1" applyAlignment="1">
      <alignment vertical="center"/>
    </xf>
    <xf numFmtId="3" fontId="4" fillId="0" borderId="2" xfId="15" applyNumberFormat="1" applyFont="1" applyBorder="1" applyAlignment="1">
      <alignment/>
    </xf>
    <xf numFmtId="3" fontId="1" fillId="0" borderId="9" xfId="15" applyNumberFormat="1" applyFont="1" applyBorder="1" applyAlignment="1">
      <alignment horizontal="center"/>
    </xf>
    <xf numFmtId="3" fontId="1" fillId="0" borderId="13" xfId="15" applyNumberFormat="1" applyFont="1" applyBorder="1" applyAlignment="1">
      <alignment horizontal="center"/>
    </xf>
    <xf numFmtId="3" fontId="12" fillId="0" borderId="0" xfId="15" applyNumberFormat="1" applyFont="1" applyBorder="1" applyAlignment="1" quotePrefix="1">
      <alignment horizontal="right" vertical="center"/>
    </xf>
    <xf numFmtId="0" fontId="1" fillId="0" borderId="0" xfId="0" applyFont="1" applyBorder="1" applyAlignment="1">
      <alignment vertical="center"/>
    </xf>
    <xf numFmtId="3" fontId="9" fillId="0" borderId="0" xfId="15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6" fillId="0" borderId="20" xfId="15" applyNumberFormat="1" applyFont="1" applyBorder="1" applyAlignment="1">
      <alignment horizontal="left"/>
    </xf>
    <xf numFmtId="165" fontId="6" fillId="0" borderId="20" xfId="15" applyNumberFormat="1" applyFont="1" applyBorder="1" applyAlignment="1">
      <alignment/>
    </xf>
    <xf numFmtId="165" fontId="6" fillId="0" borderId="21" xfId="15" applyNumberFormat="1" applyFont="1" applyBorder="1" applyAlignment="1">
      <alignment/>
    </xf>
    <xf numFmtId="165" fontId="6" fillId="0" borderId="15" xfId="15" applyNumberFormat="1" applyFont="1" applyBorder="1" applyAlignment="1">
      <alignment/>
    </xf>
    <xf numFmtId="165" fontId="6" fillId="0" borderId="22" xfId="15" applyNumberFormat="1" applyFont="1" applyBorder="1" applyAlignment="1">
      <alignment/>
    </xf>
    <xf numFmtId="165" fontId="6" fillId="0" borderId="23" xfId="15" applyNumberFormat="1" applyFont="1" applyBorder="1" applyAlignment="1">
      <alignment/>
    </xf>
    <xf numFmtId="164" fontId="0" fillId="0" borderId="0" xfId="15" applyNumberFormat="1" applyFont="1" applyAlignment="1">
      <alignment/>
    </xf>
    <xf numFmtId="164" fontId="6" fillId="0" borderId="24" xfId="15" applyNumberFormat="1" applyFont="1" applyBorder="1" applyAlignment="1">
      <alignment/>
    </xf>
    <xf numFmtId="166" fontId="6" fillId="0" borderId="24" xfId="15" applyNumberFormat="1" applyFont="1" applyBorder="1" applyAlignment="1">
      <alignment horizontal="right"/>
    </xf>
    <xf numFmtId="166" fontId="6" fillId="0" borderId="8" xfId="15" applyNumberFormat="1" applyFont="1" applyBorder="1" applyAlignment="1">
      <alignment horizontal="right"/>
    </xf>
    <xf numFmtId="166" fontId="6" fillId="0" borderId="25" xfId="15" applyNumberFormat="1" applyFont="1" applyBorder="1" applyAlignment="1">
      <alignment horizontal="right"/>
    </xf>
    <xf numFmtId="166" fontId="6" fillId="0" borderId="8" xfId="15" applyNumberFormat="1" applyFont="1" applyBorder="1" applyAlignment="1">
      <alignment/>
    </xf>
    <xf numFmtId="166" fontId="6" fillId="0" borderId="26" xfId="15" applyNumberFormat="1" applyFont="1" applyBorder="1" applyAlignment="1">
      <alignment/>
    </xf>
    <xf numFmtId="166" fontId="6" fillId="0" borderId="9" xfId="15" applyNumberFormat="1" applyFont="1" applyBorder="1" applyAlignment="1">
      <alignment horizontal="right"/>
    </xf>
    <xf numFmtId="165" fontId="6" fillId="0" borderId="24" xfId="15" applyNumberFormat="1" applyFont="1" applyBorder="1" applyAlignment="1">
      <alignment/>
    </xf>
    <xf numFmtId="165" fontId="6" fillId="0" borderId="8" xfId="15" applyNumberFormat="1" applyFont="1" applyBorder="1" applyAlignment="1">
      <alignment/>
    </xf>
    <xf numFmtId="165" fontId="6" fillId="0" borderId="25" xfId="15" applyNumberFormat="1" applyFont="1" applyBorder="1" applyAlignment="1">
      <alignment/>
    </xf>
    <xf numFmtId="165" fontId="6" fillId="0" borderId="26" xfId="15" applyNumberFormat="1" applyFont="1" applyBorder="1" applyAlignment="1">
      <alignment/>
    </xf>
    <xf numFmtId="165" fontId="6" fillId="0" borderId="27" xfId="15" applyNumberFormat="1" applyFont="1" applyBorder="1" applyAlignment="1">
      <alignment/>
    </xf>
    <xf numFmtId="166" fontId="6" fillId="0" borderId="26" xfId="15" applyNumberFormat="1" applyFont="1" applyBorder="1" applyAlignment="1">
      <alignment horizontal="right"/>
    </xf>
    <xf numFmtId="166" fontId="6" fillId="0" borderId="27" xfId="15" applyNumberFormat="1" applyFont="1" applyBorder="1" applyAlignment="1">
      <alignment horizontal="right"/>
    </xf>
    <xf numFmtId="164" fontId="6" fillId="0" borderId="24" xfId="15" applyNumberFormat="1" applyFont="1" applyBorder="1" applyAlignment="1">
      <alignment horizontal="left"/>
    </xf>
    <xf numFmtId="164" fontId="17" fillId="0" borderId="24" xfId="15" applyNumberFormat="1" applyFont="1" applyBorder="1" applyAlignment="1">
      <alignment horizontal="left" indent="2"/>
    </xf>
    <xf numFmtId="165" fontId="6" fillId="0" borderId="0" xfId="15" applyNumberFormat="1" applyFont="1" applyBorder="1" applyAlignment="1">
      <alignment/>
    </xf>
    <xf numFmtId="165" fontId="17" fillId="0" borderId="15" xfId="15" applyNumberFormat="1" applyFont="1" applyFill="1" applyBorder="1" applyAlignment="1">
      <alignment/>
    </xf>
    <xf numFmtId="165" fontId="17" fillId="0" borderId="26" xfId="15" applyNumberFormat="1" applyFont="1" applyFill="1" applyBorder="1" applyAlignment="1">
      <alignment/>
    </xf>
    <xf numFmtId="165" fontId="17" fillId="0" borderId="15" xfId="15" applyNumberFormat="1" applyFont="1" applyBorder="1" applyAlignment="1">
      <alignment/>
    </xf>
    <xf numFmtId="165" fontId="17" fillId="0" borderId="26" xfId="15" applyNumberFormat="1" applyFont="1" applyBorder="1" applyAlignment="1">
      <alignment/>
    </xf>
    <xf numFmtId="164" fontId="6" fillId="0" borderId="28" xfId="15" applyNumberFormat="1" applyFont="1" applyBorder="1" applyAlignment="1">
      <alignment/>
    </xf>
    <xf numFmtId="165" fontId="18" fillId="0" borderId="0" xfId="15" applyNumberFormat="1" applyFont="1" applyBorder="1" applyAlignment="1">
      <alignment/>
    </xf>
    <xf numFmtId="164" fontId="6" fillId="0" borderId="20" xfId="15" applyNumberFormat="1" applyFont="1" applyBorder="1" applyAlignment="1">
      <alignment/>
    </xf>
    <xf numFmtId="165" fontId="6" fillId="0" borderId="29" xfId="15" applyNumberFormat="1" applyFont="1" applyBorder="1" applyAlignment="1">
      <alignment/>
    </xf>
    <xf numFmtId="165" fontId="18" fillId="0" borderId="29" xfId="15" applyNumberFormat="1" applyFont="1" applyBorder="1" applyAlignment="1">
      <alignment/>
    </xf>
    <xf numFmtId="165" fontId="6" fillId="0" borderId="30" xfId="15" applyNumberFormat="1" applyFont="1" applyBorder="1" applyAlignment="1">
      <alignment/>
    </xf>
    <xf numFmtId="164" fontId="6" fillId="0" borderId="24" xfId="15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1" fillId="0" borderId="0" xfId="0" applyFont="1" applyAlignment="1">
      <alignment/>
    </xf>
    <xf numFmtId="0" fontId="19" fillId="0" borderId="0" xfId="0" applyFont="1" applyBorder="1" applyAlignment="1" quotePrefix="1">
      <alignment horizontal="left"/>
    </xf>
    <xf numFmtId="3" fontId="1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7" fontId="1" fillId="0" borderId="33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17" fontId="1" fillId="0" borderId="0" xfId="0" applyNumberFormat="1" applyFont="1" applyBorder="1" applyAlignment="1">
      <alignment horizontal="centerContinuous" vertical="center"/>
    </xf>
    <xf numFmtId="167" fontId="1" fillId="0" borderId="8" xfId="0" applyNumberFormat="1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167" fontId="1" fillId="0" borderId="0" xfId="0" applyNumberFormat="1" applyFont="1" applyBorder="1" applyAlignment="1">
      <alignment horizontal="centerContinuous" vertical="center"/>
    </xf>
    <xf numFmtId="0" fontId="1" fillId="0" borderId="3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3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0" fontId="1" fillId="0" borderId="0" xfId="0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Continuous" vertical="center" wrapText="1"/>
    </xf>
    <xf numFmtId="0" fontId="1" fillId="0" borderId="13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8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3" fontId="20" fillId="0" borderId="33" xfId="15" applyNumberFormat="1" applyFont="1" applyBorder="1" applyAlignment="1">
      <alignment vertical="center"/>
    </xf>
    <xf numFmtId="3" fontId="20" fillId="0" borderId="9" xfId="15" applyNumberFormat="1" applyFont="1" applyBorder="1" applyAlignment="1">
      <alignment vertical="center"/>
    </xf>
    <xf numFmtId="3" fontId="20" fillId="0" borderId="0" xfId="15" applyNumberFormat="1" applyFont="1" applyBorder="1" applyAlignment="1">
      <alignment vertical="center"/>
    </xf>
    <xf numFmtId="3" fontId="20" fillId="0" borderId="2" xfId="15" applyNumberFormat="1" applyFont="1" applyBorder="1" applyAlignment="1">
      <alignment vertical="center"/>
    </xf>
    <xf numFmtId="3" fontId="20" fillId="0" borderId="10" xfId="15" applyNumberFormat="1" applyFont="1" applyBorder="1" applyAlignment="1">
      <alignment vertical="center"/>
    </xf>
    <xf numFmtId="3" fontId="20" fillId="0" borderId="8" xfId="15" applyNumberFormat="1" applyFont="1" applyBorder="1" applyAlignment="1">
      <alignment vertical="center"/>
    </xf>
    <xf numFmtId="3" fontId="20" fillId="0" borderId="3" xfId="15" applyNumberFormat="1" applyFont="1" applyBorder="1" applyAlignment="1">
      <alignment vertical="center"/>
    </xf>
    <xf numFmtId="0" fontId="20" fillId="0" borderId="0" xfId="0" applyFont="1" applyAlignment="1">
      <alignment/>
    </xf>
    <xf numFmtId="3" fontId="1" fillId="0" borderId="33" xfId="15" applyNumberFormat="1" applyFont="1" applyBorder="1" applyAlignment="1">
      <alignment vertical="center"/>
    </xf>
    <xf numFmtId="3" fontId="1" fillId="0" borderId="9" xfId="15" applyNumberFormat="1" applyFont="1" applyBorder="1" applyAlignment="1">
      <alignment vertical="center"/>
    </xf>
    <xf numFmtId="3" fontId="1" fillId="0" borderId="0" xfId="15" applyNumberFormat="1" applyFont="1" applyAlignment="1">
      <alignment vertical="center"/>
    </xf>
    <xf numFmtId="3" fontId="1" fillId="0" borderId="0" xfId="15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" fontId="20" fillId="0" borderId="0" xfId="15" applyNumberFormat="1" applyFont="1" applyAlignment="1">
      <alignment vertical="center"/>
    </xf>
    <xf numFmtId="3" fontId="1" fillId="0" borderId="13" xfId="15" applyNumberFormat="1" applyFont="1" applyBorder="1" applyAlignment="1">
      <alignment vertical="center"/>
    </xf>
    <xf numFmtId="3" fontId="1" fillId="0" borderId="1" xfId="15" applyNumberFormat="1" applyFont="1" applyBorder="1" applyAlignment="1">
      <alignment vertical="center"/>
    </xf>
    <xf numFmtId="3" fontId="1" fillId="0" borderId="32" xfId="15" applyNumberFormat="1" applyFont="1" applyBorder="1" applyAlignment="1">
      <alignment vertical="center"/>
    </xf>
    <xf numFmtId="3" fontId="1" fillId="0" borderId="3" xfId="15" applyNumberFormat="1" applyFont="1" applyBorder="1" applyAlignment="1">
      <alignment vertical="center"/>
    </xf>
    <xf numFmtId="3" fontId="1" fillId="0" borderId="10" xfId="15" applyNumberFormat="1" applyFont="1" applyBorder="1" applyAlignment="1">
      <alignment vertical="center"/>
    </xf>
    <xf numFmtId="3" fontId="1" fillId="0" borderId="34" xfId="15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2" xfId="0" applyNumberFormat="1" applyFont="1" applyBorder="1" applyAlignment="1">
      <alignment/>
    </xf>
    <xf numFmtId="1" fontId="1" fillId="0" borderId="3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/>
    </xf>
    <xf numFmtId="0" fontId="8" fillId="0" borderId="9" xfId="0" applyFont="1" applyBorder="1" applyAlignment="1" quotePrefix="1">
      <alignment horizontal="left"/>
    </xf>
    <xf numFmtId="3" fontId="8" fillId="0" borderId="8" xfId="15" applyNumberFormat="1" applyFont="1" applyBorder="1" applyAlignment="1">
      <alignment/>
    </xf>
    <xf numFmtId="3" fontId="8" fillId="0" borderId="9" xfId="15" applyNumberFormat="1" applyFont="1" applyBorder="1" applyAlignment="1">
      <alignment horizontal="center"/>
    </xf>
    <xf numFmtId="168" fontId="8" fillId="0" borderId="24" xfId="15" applyNumberFormat="1" applyFont="1" applyBorder="1" applyAlignment="1">
      <alignment/>
    </xf>
    <xf numFmtId="3" fontId="1" fillId="0" borderId="8" xfId="15" applyNumberFormat="1" applyFont="1" applyBorder="1" applyAlignment="1" quotePrefix="1">
      <alignment/>
    </xf>
    <xf numFmtId="3" fontId="4" fillId="0" borderId="9" xfId="15" applyNumberFormat="1" applyFont="1" applyBorder="1" applyAlignment="1" quotePrefix="1">
      <alignment horizontal="left"/>
    </xf>
    <xf numFmtId="168" fontId="1" fillId="0" borderId="24" xfId="15" applyNumberFormat="1" applyFont="1" applyBorder="1" applyAlignment="1">
      <alignment/>
    </xf>
    <xf numFmtId="0" fontId="8" fillId="0" borderId="9" xfId="0" applyFont="1" applyBorder="1" applyAlignment="1">
      <alignment/>
    </xf>
    <xf numFmtId="3" fontId="1" fillId="0" borderId="9" xfId="15" applyNumberFormat="1" applyFont="1" applyBorder="1" applyAlignment="1" quotePrefix="1">
      <alignment horizontal="center"/>
    </xf>
    <xf numFmtId="168" fontId="1" fillId="0" borderId="24" xfId="15" applyNumberFormat="1" applyFont="1" applyBorder="1" applyAlignment="1" quotePrefix="1">
      <alignment/>
    </xf>
    <xf numFmtId="0" fontId="4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4" fillId="0" borderId="8" xfId="0" applyFont="1" applyBorder="1" applyAlignment="1" quotePrefix="1">
      <alignment/>
    </xf>
    <xf numFmtId="0" fontId="1" fillId="0" borderId="8" xfId="0" applyFont="1" applyBorder="1" applyAlignment="1" quotePrefix="1">
      <alignment horizontal="left"/>
    </xf>
    <xf numFmtId="3" fontId="1" fillId="0" borderId="2" xfId="15" applyNumberFormat="1" applyFont="1" applyBorder="1" applyAlignment="1">
      <alignment/>
    </xf>
    <xf numFmtId="3" fontId="1" fillId="0" borderId="3" xfId="15" applyNumberFormat="1" applyFont="1" applyBorder="1" applyAlignment="1">
      <alignment horizontal="center"/>
    </xf>
    <xf numFmtId="168" fontId="1" fillId="0" borderId="11" xfId="15" applyNumberFormat="1" applyFont="1" applyBorder="1" applyAlignment="1">
      <alignment/>
    </xf>
    <xf numFmtId="0" fontId="20" fillId="0" borderId="13" xfId="0" applyFont="1" applyBorder="1" applyAlignment="1">
      <alignment horizontal="center"/>
    </xf>
    <xf numFmtId="3" fontId="1" fillId="0" borderId="12" xfId="15" applyNumberFormat="1" applyFont="1" applyBorder="1" applyAlignment="1">
      <alignment/>
    </xf>
    <xf numFmtId="168" fontId="1" fillId="0" borderId="14" xfId="15" applyNumberFormat="1" applyFont="1" applyBorder="1" applyAlignment="1">
      <alignment/>
    </xf>
    <xf numFmtId="168" fontId="1" fillId="0" borderId="0" xfId="0" applyNumberFormat="1" applyFont="1" applyAlignment="1">
      <alignment/>
    </xf>
    <xf numFmtId="0" fontId="4" fillId="0" borderId="0" xfId="0" applyFont="1" applyAlignment="1" quotePrefix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1" fillId="0" borderId="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3" fontId="11" fillId="0" borderId="2" xfId="0" applyNumberFormat="1" applyFont="1" applyBorder="1" applyAlignment="1">
      <alignment horizontal="right" vertical="center"/>
    </xf>
    <xf numFmtId="169" fontId="1" fillId="0" borderId="0" xfId="0" applyNumberFormat="1" applyFont="1" applyAlignment="1">
      <alignment/>
    </xf>
    <xf numFmtId="0" fontId="8" fillId="0" borderId="0" xfId="0" applyFont="1" applyBorder="1" applyAlignment="1">
      <alignment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 wrapText="1"/>
    </xf>
    <xf numFmtId="3" fontId="1" fillId="0" borderId="8" xfId="0" applyNumberFormat="1" applyFont="1" applyBorder="1" applyAlignment="1" quotePrefix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24" fillId="0" borderId="0" xfId="0" applyFont="1" applyBorder="1" applyAlignment="1">
      <alignment/>
    </xf>
    <xf numFmtId="3" fontId="6" fillId="0" borderId="8" xfId="15" applyNumberFormat="1" applyFont="1" applyBorder="1" applyAlignment="1">
      <alignment/>
    </xf>
    <xf numFmtId="3" fontId="6" fillId="0" borderId="9" xfId="15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167" fontId="1" fillId="0" borderId="8" xfId="0" applyNumberFormat="1" applyFont="1" applyBorder="1" applyAlignment="1">
      <alignment horizontal="center" vertical="center"/>
    </xf>
    <xf numFmtId="167" fontId="1" fillId="0" borderId="9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49" fontId="0" fillId="0" borderId="9" xfId="0" applyNumberFormat="1" applyBorder="1" applyAlignment="1">
      <alignment/>
    </xf>
    <xf numFmtId="49" fontId="1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276225</xdr:colOff>
      <xdr:row>0</xdr:row>
      <xdr:rowOff>180975</xdr:rowOff>
    </xdr:from>
    <xdr:to>
      <xdr:col>20</xdr:col>
      <xdr:colOff>466725</xdr:colOff>
      <xdr:row>32</xdr:row>
      <xdr:rowOff>180975</xdr:rowOff>
    </xdr:to>
    <xdr:sp>
      <xdr:nvSpPr>
        <xdr:cNvPr id="1" name="Text 2"/>
        <xdr:cNvSpPr txBox="1">
          <a:spLocks noChangeArrowheads="1"/>
        </xdr:cNvSpPr>
      </xdr:nvSpPr>
      <xdr:spPr>
        <a:xfrm>
          <a:off x="8915400" y="180975"/>
          <a:ext cx="190500" cy="6305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0</xdr:row>
      <xdr:rowOff>0</xdr:rowOff>
    </xdr:from>
    <xdr:to>
      <xdr:col>8</xdr:col>
      <xdr:colOff>504825</xdr:colOff>
      <xdr:row>35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48700" y="0"/>
          <a:ext cx="200025" cy="6391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0</xdr:row>
      <xdr:rowOff>0</xdr:rowOff>
    </xdr:from>
    <xdr:to>
      <xdr:col>7</xdr:col>
      <xdr:colOff>514350</xdr:colOff>
      <xdr:row>34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439150" y="0"/>
          <a:ext cx="47625" cy="6086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9</a:t>
          </a:r>
        </a:p>
      </xdr:txBody>
    </xdr:sp>
    <xdr:clientData/>
  </xdr:twoCellAnchor>
  <xdr:twoCellAnchor>
    <xdr:from>
      <xdr:col>8</xdr:col>
      <xdr:colOff>228600</xdr:colOff>
      <xdr:row>2</xdr:row>
      <xdr:rowOff>76200</xdr:rowOff>
    </xdr:from>
    <xdr:to>
      <xdr:col>8</xdr:col>
      <xdr:colOff>571500</xdr:colOff>
      <xdr:row>31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715375" y="342900"/>
          <a:ext cx="342900" cy="5524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0</xdr:row>
      <xdr:rowOff>104775</xdr:rowOff>
    </xdr:from>
    <xdr:to>
      <xdr:col>9</xdr:col>
      <xdr:colOff>28575</xdr:colOff>
      <xdr:row>33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734425" y="104775"/>
          <a:ext cx="247650" cy="5981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0</xdr:row>
      <xdr:rowOff>219075</xdr:rowOff>
    </xdr:from>
    <xdr:to>
      <xdr:col>13</xdr:col>
      <xdr:colOff>352425</xdr:colOff>
      <xdr:row>26</xdr:row>
      <xdr:rowOff>66675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829675" y="219075"/>
          <a:ext cx="228600" cy="5962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10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4</xdr:row>
      <xdr:rowOff>114300</xdr:rowOff>
    </xdr:from>
    <xdr:to>
      <xdr:col>13</xdr:col>
      <xdr:colOff>95250</xdr:colOff>
      <xdr:row>25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4086225" y="895350"/>
          <a:ext cx="0" cy="499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13</a:t>
          </a:r>
        </a:p>
      </xdr:txBody>
    </xdr:sp>
    <xdr:clientData/>
  </xdr:twoCellAnchor>
  <xdr:twoCellAnchor>
    <xdr:from>
      <xdr:col>28</xdr:col>
      <xdr:colOff>76200</xdr:colOff>
      <xdr:row>0</xdr:row>
      <xdr:rowOff>0</xdr:rowOff>
    </xdr:from>
    <xdr:to>
      <xdr:col>28</xdr:col>
      <xdr:colOff>304800</xdr:colOff>
      <xdr:row>27</xdr:row>
      <xdr:rowOff>104775</xdr:rowOff>
    </xdr:to>
    <xdr:sp>
      <xdr:nvSpPr>
        <xdr:cNvPr id="2" name="Text 2"/>
        <xdr:cNvSpPr txBox="1">
          <a:spLocks noChangeArrowheads="1"/>
        </xdr:cNvSpPr>
      </xdr:nvSpPr>
      <xdr:spPr>
        <a:xfrm>
          <a:off x="8515350" y="0"/>
          <a:ext cx="228600" cy="6353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11</a:t>
          </a:r>
        </a:p>
      </xdr:txBody>
    </xdr:sp>
    <xdr:clientData/>
  </xdr:twoCellAnchor>
  <xdr:twoCellAnchor>
    <xdr:from>
      <xdr:col>25</xdr:col>
      <xdr:colOff>95250</xdr:colOff>
      <xdr:row>4</xdr:row>
      <xdr:rowOff>114300</xdr:rowOff>
    </xdr:from>
    <xdr:to>
      <xdr:col>25</xdr:col>
      <xdr:colOff>95250</xdr:colOff>
      <xdr:row>25</xdr:row>
      <xdr:rowOff>0</xdr:rowOff>
    </xdr:to>
    <xdr:sp>
      <xdr:nvSpPr>
        <xdr:cNvPr id="3" name="Text 2"/>
        <xdr:cNvSpPr txBox="1">
          <a:spLocks noChangeArrowheads="1"/>
        </xdr:cNvSpPr>
      </xdr:nvSpPr>
      <xdr:spPr>
        <a:xfrm>
          <a:off x="7800975" y="895350"/>
          <a:ext cx="0" cy="499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13</a:t>
          </a:r>
        </a:p>
      </xdr:txBody>
    </xdr:sp>
    <xdr:clientData/>
  </xdr:twoCellAnchor>
  <xdr:twoCellAnchor>
    <xdr:from>
      <xdr:col>19</xdr:col>
      <xdr:colOff>95250</xdr:colOff>
      <xdr:row>4</xdr:row>
      <xdr:rowOff>114300</xdr:rowOff>
    </xdr:from>
    <xdr:to>
      <xdr:col>19</xdr:col>
      <xdr:colOff>95250</xdr:colOff>
      <xdr:row>25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5943600" y="895350"/>
          <a:ext cx="0" cy="499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13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0</xdr:rowOff>
    </xdr:from>
    <xdr:to>
      <xdr:col>9</xdr:col>
      <xdr:colOff>114300</xdr:colOff>
      <xdr:row>35</xdr:row>
      <xdr:rowOff>152400</xdr:rowOff>
    </xdr:to>
    <xdr:sp>
      <xdr:nvSpPr>
        <xdr:cNvPr id="1" name="Text 2"/>
        <xdr:cNvSpPr txBox="1">
          <a:spLocks noChangeArrowheads="1"/>
        </xdr:cNvSpPr>
      </xdr:nvSpPr>
      <xdr:spPr>
        <a:xfrm>
          <a:off x="8686800" y="0"/>
          <a:ext cx="228600" cy="6553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12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0</xdr:row>
      <xdr:rowOff>0</xdr:rowOff>
    </xdr:from>
    <xdr:to>
      <xdr:col>11</xdr:col>
      <xdr:colOff>409575</xdr:colOff>
      <xdr:row>25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8477250" y="0"/>
          <a:ext cx="352425" cy="6343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workbookViewId="0" topLeftCell="A13">
      <selection activeCell="B16" sqref="B16"/>
    </sheetView>
  </sheetViews>
  <sheetFormatPr defaultColWidth="9.140625" defaultRowHeight="12.75"/>
  <cols>
    <col min="1" max="1" width="1.7109375" style="83" customWidth="1"/>
    <col min="2" max="2" width="40.421875" style="83" customWidth="1"/>
    <col min="3" max="3" width="8.00390625" style="83" customWidth="1"/>
    <col min="4" max="4" width="1.7109375" style="83" customWidth="1"/>
    <col min="5" max="5" width="8.00390625" style="83" customWidth="1"/>
    <col min="6" max="6" width="1.7109375" style="83" customWidth="1"/>
    <col min="7" max="7" width="8.00390625" style="83" customWidth="1"/>
    <col min="8" max="8" width="1.7109375" style="83" customWidth="1"/>
    <col min="9" max="9" width="8.00390625" style="83" customWidth="1"/>
    <col min="10" max="10" width="1.7109375" style="83" customWidth="1"/>
    <col min="11" max="11" width="8.00390625" style="83" customWidth="1"/>
    <col min="12" max="12" width="1.7109375" style="83" customWidth="1"/>
    <col min="13" max="13" width="8.00390625" style="83" customWidth="1"/>
    <col min="14" max="14" width="1.7109375" style="83" customWidth="1"/>
    <col min="15" max="15" width="8.00390625" style="83" customWidth="1"/>
    <col min="16" max="16" width="1.7109375" style="83" customWidth="1"/>
    <col min="17" max="17" width="8.00390625" style="83" customWidth="1"/>
    <col min="18" max="18" width="1.7109375" style="83" customWidth="1"/>
    <col min="19" max="19" width="8.00390625" style="83" customWidth="1"/>
    <col min="20" max="20" width="1.7109375" style="83" customWidth="1"/>
    <col min="21" max="21" width="7.00390625" style="83" customWidth="1"/>
    <col min="22" max="16384" width="9.140625" style="83" customWidth="1"/>
  </cols>
  <sheetData>
    <row r="1" spans="1:14" s="4" customFormat="1" ht="16.5" customHeight="1">
      <c r="A1" s="1" t="s">
        <v>0</v>
      </c>
      <c r="B1" s="2"/>
      <c r="C1" s="3"/>
      <c r="D1" s="3"/>
      <c r="E1" s="3"/>
      <c r="F1" s="3"/>
      <c r="G1" s="2"/>
      <c r="H1" s="2"/>
      <c r="I1" s="3"/>
      <c r="J1" s="3"/>
      <c r="K1" s="3"/>
      <c r="L1" s="3"/>
      <c r="M1" s="2"/>
      <c r="N1" s="2"/>
    </row>
    <row r="2" spans="1:12" s="4" customFormat="1" ht="9" customHeight="1">
      <c r="A2" s="5"/>
      <c r="B2" s="6" t="s">
        <v>1</v>
      </c>
      <c r="C2" s="7"/>
      <c r="D2" s="7"/>
      <c r="E2" s="7"/>
      <c r="F2" s="7"/>
      <c r="I2" s="7"/>
      <c r="J2" s="7"/>
      <c r="K2" s="7"/>
      <c r="L2" s="7"/>
    </row>
    <row r="3" spans="1:20" s="4" customFormat="1" ht="15" customHeight="1">
      <c r="A3" s="8"/>
      <c r="B3" s="9"/>
      <c r="C3" s="10" t="s">
        <v>2</v>
      </c>
      <c r="D3" s="11"/>
      <c r="E3" s="12"/>
      <c r="F3" s="12"/>
      <c r="G3" s="12"/>
      <c r="H3" s="13"/>
      <c r="I3" s="14" t="s">
        <v>3</v>
      </c>
      <c r="J3" s="11"/>
      <c r="K3" s="12"/>
      <c r="L3" s="12"/>
      <c r="M3" s="15"/>
      <c r="N3" s="15"/>
      <c r="O3" s="12" t="s">
        <v>4</v>
      </c>
      <c r="P3" s="12"/>
      <c r="Q3" s="12"/>
      <c r="R3" s="12"/>
      <c r="S3" s="15"/>
      <c r="T3" s="13"/>
    </row>
    <row r="4" spans="1:20" s="4" customFormat="1" ht="15" customHeight="1">
      <c r="A4" s="16"/>
      <c r="B4" s="17" t="s">
        <v>5</v>
      </c>
      <c r="C4" s="277" t="s">
        <v>6</v>
      </c>
      <c r="D4" s="279"/>
      <c r="E4" s="273" t="s">
        <v>7</v>
      </c>
      <c r="F4" s="274"/>
      <c r="G4" s="19" t="s">
        <v>8</v>
      </c>
      <c r="H4" s="20"/>
      <c r="I4" s="279" t="s">
        <v>6</v>
      </c>
      <c r="J4" s="279"/>
      <c r="K4" s="273" t="s">
        <v>7</v>
      </c>
      <c r="L4" s="274"/>
      <c r="M4" s="19" t="s">
        <v>8</v>
      </c>
      <c r="N4" s="20"/>
      <c r="O4" s="279" t="s">
        <v>6</v>
      </c>
      <c r="P4" s="274"/>
      <c r="Q4" s="273" t="s">
        <v>7</v>
      </c>
      <c r="R4" s="274"/>
      <c r="S4" s="21" t="s">
        <v>8</v>
      </c>
      <c r="T4" s="20"/>
    </row>
    <row r="5" spans="1:20" s="4" customFormat="1" ht="13.5" customHeight="1">
      <c r="A5" s="22"/>
      <c r="B5" s="23" t="s">
        <v>9</v>
      </c>
      <c r="C5" s="278"/>
      <c r="D5" s="280"/>
      <c r="E5" s="275"/>
      <c r="F5" s="276"/>
      <c r="G5" s="24" t="s">
        <v>10</v>
      </c>
      <c r="H5" s="25"/>
      <c r="I5" s="280"/>
      <c r="J5" s="280"/>
      <c r="K5" s="275"/>
      <c r="L5" s="276"/>
      <c r="M5" s="24" t="s">
        <v>10</v>
      </c>
      <c r="N5" s="26"/>
      <c r="O5" s="282"/>
      <c r="P5" s="276"/>
      <c r="Q5" s="275"/>
      <c r="R5" s="276"/>
      <c r="S5" s="26" t="s">
        <v>10</v>
      </c>
      <c r="T5" s="25"/>
    </row>
    <row r="6" spans="1:20" s="4" customFormat="1" ht="22.5" customHeight="1">
      <c r="A6" s="27"/>
      <c r="B6" s="28" t="s">
        <v>11</v>
      </c>
      <c r="C6" s="29">
        <f>17331+913</f>
        <v>18244</v>
      </c>
      <c r="D6" s="30"/>
      <c r="E6" s="29">
        <f>3739+61</f>
        <v>3800</v>
      </c>
      <c r="F6" s="31"/>
      <c r="G6" s="29">
        <f aca="true" t="shared" si="0" ref="G6:G15">SUM(C6:E6)</f>
        <v>22044</v>
      </c>
      <c r="H6" s="31"/>
      <c r="I6" s="32">
        <f>17149+903</f>
        <v>18052</v>
      </c>
      <c r="J6" s="30"/>
      <c r="K6" s="29">
        <f>3524+60</f>
        <v>3584</v>
      </c>
      <c r="L6" s="31"/>
      <c r="M6" s="29">
        <f>SUM(I6:K6)</f>
        <v>21636</v>
      </c>
      <c r="N6" s="31"/>
      <c r="O6" s="33">
        <f>I6-C6</f>
        <v>-192</v>
      </c>
      <c r="P6" s="34"/>
      <c r="Q6" s="32">
        <f>K6-E6</f>
        <v>-216</v>
      </c>
      <c r="R6" s="34"/>
      <c r="S6" s="35">
        <f>O6+Q6</f>
        <v>-408</v>
      </c>
      <c r="T6" s="36"/>
    </row>
    <row r="7" spans="1:20" s="45" customFormat="1" ht="16.5" customHeight="1">
      <c r="A7" s="37"/>
      <c r="B7" s="38" t="s">
        <v>12</v>
      </c>
      <c r="C7" s="39">
        <v>11246</v>
      </c>
      <c r="D7" s="40"/>
      <c r="E7" s="41">
        <v>2557</v>
      </c>
      <c r="F7" s="42"/>
      <c r="G7" s="41">
        <f t="shared" si="0"/>
        <v>13803</v>
      </c>
      <c r="H7" s="42"/>
      <c r="I7" s="43">
        <v>11369</v>
      </c>
      <c r="J7" s="40"/>
      <c r="K7" s="41">
        <v>2428</v>
      </c>
      <c r="L7" s="42"/>
      <c r="M7" s="41">
        <f aca="true" t="shared" si="1" ref="M7:M33">SUM(I7:K7)</f>
        <v>13797</v>
      </c>
      <c r="N7" s="42"/>
      <c r="O7" s="32">
        <f aca="true" t="shared" si="2" ref="O7:O30">I7-C7</f>
        <v>123</v>
      </c>
      <c r="P7" s="34"/>
      <c r="Q7" s="32">
        <f aca="true" t="shared" si="3" ref="Q7:Q30">K7-E7</f>
        <v>-129</v>
      </c>
      <c r="R7" s="34"/>
      <c r="S7" s="35">
        <f aca="true" t="shared" si="4" ref="S7:S30">O7+Q7</f>
        <v>-6</v>
      </c>
      <c r="T7" s="44"/>
    </row>
    <row r="8" spans="1:20" s="45" customFormat="1" ht="16.5" customHeight="1">
      <c r="A8" s="37"/>
      <c r="B8" s="46" t="s">
        <v>13</v>
      </c>
      <c r="C8" s="39">
        <f>C6-C7</f>
        <v>6998</v>
      </c>
      <c r="D8" s="40"/>
      <c r="E8" s="41">
        <f>E6-E7</f>
        <v>1243</v>
      </c>
      <c r="F8" s="42"/>
      <c r="G8" s="41">
        <f t="shared" si="0"/>
        <v>8241</v>
      </c>
      <c r="H8" s="42"/>
      <c r="I8" s="43">
        <f>I6-I7</f>
        <v>6683</v>
      </c>
      <c r="J8" s="40"/>
      <c r="K8" s="43">
        <f>K6-K7</f>
        <v>1156</v>
      </c>
      <c r="L8" s="42"/>
      <c r="M8" s="41">
        <f t="shared" si="1"/>
        <v>7839</v>
      </c>
      <c r="N8" s="42"/>
      <c r="O8" s="32">
        <f t="shared" si="2"/>
        <v>-315</v>
      </c>
      <c r="P8" s="34"/>
      <c r="Q8" s="32">
        <f t="shared" si="3"/>
        <v>-87</v>
      </c>
      <c r="R8" s="34"/>
      <c r="S8" s="35">
        <f t="shared" si="4"/>
        <v>-402</v>
      </c>
      <c r="T8" s="44"/>
    </row>
    <row r="9" spans="1:20" s="4" customFormat="1" ht="16.5" customHeight="1">
      <c r="A9" s="47"/>
      <c r="B9" s="2" t="s">
        <v>14</v>
      </c>
      <c r="C9" s="48">
        <v>88</v>
      </c>
      <c r="D9" s="49"/>
      <c r="E9" s="50">
        <v>94</v>
      </c>
      <c r="F9" s="34"/>
      <c r="G9" s="50">
        <f t="shared" si="0"/>
        <v>182</v>
      </c>
      <c r="H9" s="34"/>
      <c r="I9" s="51">
        <v>90</v>
      </c>
      <c r="J9" s="49"/>
      <c r="K9" s="50">
        <v>90</v>
      </c>
      <c r="L9" s="34"/>
      <c r="M9" s="50">
        <f t="shared" si="1"/>
        <v>180</v>
      </c>
      <c r="N9" s="34"/>
      <c r="O9" s="32">
        <f t="shared" si="2"/>
        <v>2</v>
      </c>
      <c r="P9" s="34"/>
      <c r="Q9" s="32">
        <f t="shared" si="3"/>
        <v>-4</v>
      </c>
      <c r="R9" s="34"/>
      <c r="S9" s="35">
        <f t="shared" si="4"/>
        <v>-2</v>
      </c>
      <c r="T9" s="36"/>
    </row>
    <row r="10" spans="1:20" s="4" customFormat="1" ht="16.5" customHeight="1">
      <c r="A10" s="47"/>
      <c r="B10" s="2" t="s">
        <v>15</v>
      </c>
      <c r="C10" s="50">
        <v>44427</v>
      </c>
      <c r="D10" s="34"/>
      <c r="E10" s="50">
        <v>48193</v>
      </c>
      <c r="F10" s="34"/>
      <c r="G10" s="50">
        <f t="shared" si="0"/>
        <v>92620</v>
      </c>
      <c r="H10" s="34"/>
      <c r="I10" s="32">
        <v>43626</v>
      </c>
      <c r="J10" s="34"/>
      <c r="K10" s="50">
        <v>47395</v>
      </c>
      <c r="L10" s="34"/>
      <c r="M10" s="50">
        <f t="shared" si="1"/>
        <v>91021</v>
      </c>
      <c r="N10" s="34"/>
      <c r="O10" s="32">
        <f t="shared" si="2"/>
        <v>-801</v>
      </c>
      <c r="P10" s="34"/>
      <c r="Q10" s="32">
        <f t="shared" si="3"/>
        <v>-798</v>
      </c>
      <c r="R10" s="34"/>
      <c r="S10" s="35">
        <f t="shared" si="4"/>
        <v>-1599</v>
      </c>
      <c r="T10" s="36"/>
    </row>
    <row r="11" spans="1:20" s="45" customFormat="1" ht="16.5" customHeight="1">
      <c r="A11" s="37"/>
      <c r="B11" s="52" t="s">
        <v>16</v>
      </c>
      <c r="C11" s="39">
        <v>2213</v>
      </c>
      <c r="D11" s="40"/>
      <c r="E11" s="41">
        <v>21</v>
      </c>
      <c r="F11" s="42"/>
      <c r="G11" s="41">
        <f t="shared" si="0"/>
        <v>2234</v>
      </c>
      <c r="H11" s="42"/>
      <c r="I11" s="43">
        <v>1990</v>
      </c>
      <c r="J11" s="40"/>
      <c r="K11" s="41">
        <v>18</v>
      </c>
      <c r="L11" s="42"/>
      <c r="M11" s="41">
        <f t="shared" si="1"/>
        <v>2008</v>
      </c>
      <c r="N11" s="42"/>
      <c r="O11" s="32">
        <f t="shared" si="2"/>
        <v>-223</v>
      </c>
      <c r="P11" s="34"/>
      <c r="Q11" s="32">
        <f t="shared" si="3"/>
        <v>-3</v>
      </c>
      <c r="R11" s="34"/>
      <c r="S11" s="35">
        <f t="shared" si="4"/>
        <v>-226</v>
      </c>
      <c r="T11" s="44"/>
    </row>
    <row r="12" spans="1:20" s="45" customFormat="1" ht="16.5" customHeight="1">
      <c r="A12" s="37"/>
      <c r="B12" s="52" t="s">
        <v>17</v>
      </c>
      <c r="C12" s="39">
        <v>23901</v>
      </c>
      <c r="D12" s="40"/>
      <c r="E12" s="41">
        <v>41258</v>
      </c>
      <c r="F12" s="42"/>
      <c r="G12" s="41">
        <f t="shared" si="0"/>
        <v>65159</v>
      </c>
      <c r="H12" s="42"/>
      <c r="I12" s="43">
        <f>22278+1347</f>
        <v>23625</v>
      </c>
      <c r="J12" s="40"/>
      <c r="K12" s="41">
        <f>39085+1652</f>
        <v>40737</v>
      </c>
      <c r="L12" s="42"/>
      <c r="M12" s="41">
        <f t="shared" si="1"/>
        <v>64362</v>
      </c>
      <c r="N12" s="42"/>
      <c r="O12" s="32">
        <f t="shared" si="2"/>
        <v>-276</v>
      </c>
      <c r="P12" s="34"/>
      <c r="Q12" s="32">
        <f t="shared" si="3"/>
        <v>-521</v>
      </c>
      <c r="R12" s="34"/>
      <c r="S12" s="35">
        <f t="shared" si="4"/>
        <v>-797</v>
      </c>
      <c r="T12" s="44"/>
    </row>
    <row r="13" spans="1:20" s="45" customFormat="1" ht="16.5" customHeight="1">
      <c r="A13" s="37"/>
      <c r="B13" s="52" t="s">
        <v>13</v>
      </c>
      <c r="C13" s="39">
        <f>C10-(C11+C12)</f>
        <v>18313</v>
      </c>
      <c r="D13" s="40"/>
      <c r="E13" s="41">
        <f>E10-(E11+E12)</f>
        <v>6914</v>
      </c>
      <c r="F13" s="42"/>
      <c r="G13" s="41">
        <f t="shared" si="0"/>
        <v>25227</v>
      </c>
      <c r="H13" s="42"/>
      <c r="I13" s="43">
        <f>I10-I11-I12</f>
        <v>18011</v>
      </c>
      <c r="J13" s="40"/>
      <c r="K13" s="43">
        <f>K10-K11-K12</f>
        <v>6640</v>
      </c>
      <c r="L13" s="42"/>
      <c r="M13" s="41">
        <f t="shared" si="1"/>
        <v>24651</v>
      </c>
      <c r="N13" s="42"/>
      <c r="O13" s="32">
        <f t="shared" si="2"/>
        <v>-302</v>
      </c>
      <c r="P13" s="34"/>
      <c r="Q13" s="32">
        <f t="shared" si="3"/>
        <v>-274</v>
      </c>
      <c r="R13" s="34"/>
      <c r="S13" s="35">
        <f t="shared" si="4"/>
        <v>-576</v>
      </c>
      <c r="T13" s="44"/>
    </row>
    <row r="14" spans="1:20" s="4" customFormat="1" ht="16.5" customHeight="1">
      <c r="A14" s="47"/>
      <c r="B14" s="2" t="s">
        <v>18</v>
      </c>
      <c r="C14" s="48">
        <v>2830</v>
      </c>
      <c r="D14" s="49"/>
      <c r="E14" s="50">
        <v>150</v>
      </c>
      <c r="F14" s="34"/>
      <c r="G14" s="50">
        <f t="shared" si="0"/>
        <v>2980</v>
      </c>
      <c r="H14" s="34"/>
      <c r="I14" s="51">
        <v>2824</v>
      </c>
      <c r="J14" s="49"/>
      <c r="K14" s="50">
        <v>164</v>
      </c>
      <c r="L14" s="34"/>
      <c r="M14" s="50">
        <f t="shared" si="1"/>
        <v>2988</v>
      </c>
      <c r="N14" s="34"/>
      <c r="O14" s="32">
        <f t="shared" si="2"/>
        <v>-6</v>
      </c>
      <c r="P14" s="34"/>
      <c r="Q14" s="32">
        <f t="shared" si="3"/>
        <v>14</v>
      </c>
      <c r="R14" s="34"/>
      <c r="S14" s="35">
        <f t="shared" si="4"/>
        <v>8</v>
      </c>
      <c r="T14" s="36"/>
    </row>
    <row r="15" spans="1:20" s="4" customFormat="1" ht="16.5" customHeight="1">
      <c r="A15" s="47"/>
      <c r="B15" s="2" t="s">
        <v>19</v>
      </c>
      <c r="C15" s="48">
        <v>11943</v>
      </c>
      <c r="D15" s="49"/>
      <c r="E15" s="50">
        <v>581</v>
      </c>
      <c r="F15" s="34"/>
      <c r="G15" s="50">
        <f t="shared" si="0"/>
        <v>12524</v>
      </c>
      <c r="H15" s="34"/>
      <c r="I15" s="51">
        <v>12360</v>
      </c>
      <c r="J15" s="49"/>
      <c r="K15" s="50">
        <v>583</v>
      </c>
      <c r="L15" s="34"/>
      <c r="M15" s="50">
        <f t="shared" si="1"/>
        <v>12943</v>
      </c>
      <c r="N15" s="34"/>
      <c r="O15" s="32">
        <f t="shared" si="2"/>
        <v>417</v>
      </c>
      <c r="P15" s="34"/>
      <c r="Q15" s="32">
        <f t="shared" si="3"/>
        <v>2</v>
      </c>
      <c r="R15" s="34"/>
      <c r="S15" s="35">
        <f t="shared" si="4"/>
        <v>419</v>
      </c>
      <c r="T15" s="36"/>
    </row>
    <row r="16" spans="1:20" s="4" customFormat="1" ht="16.5" customHeight="1">
      <c r="A16" s="47"/>
      <c r="B16" s="2" t="s">
        <v>20</v>
      </c>
      <c r="C16" s="48"/>
      <c r="D16" s="49"/>
      <c r="E16" s="50"/>
      <c r="F16" s="34"/>
      <c r="G16" s="50"/>
      <c r="H16" s="34"/>
      <c r="I16" s="51"/>
      <c r="J16" s="49"/>
      <c r="K16" s="50"/>
      <c r="L16" s="34"/>
      <c r="M16" s="50"/>
      <c r="N16" s="34"/>
      <c r="O16" s="32">
        <f t="shared" si="2"/>
        <v>0</v>
      </c>
      <c r="P16" s="34"/>
      <c r="Q16" s="32">
        <f t="shared" si="3"/>
        <v>0</v>
      </c>
      <c r="R16" s="34"/>
      <c r="S16" s="35">
        <f t="shared" si="4"/>
        <v>0</v>
      </c>
      <c r="T16" s="53"/>
    </row>
    <row r="17" spans="1:20" s="4" customFormat="1" ht="16.5" customHeight="1">
      <c r="A17" s="47"/>
      <c r="B17" s="2" t="s">
        <v>21</v>
      </c>
      <c r="C17" s="50">
        <v>12414</v>
      </c>
      <c r="D17" s="49"/>
      <c r="E17" s="32">
        <v>5677</v>
      </c>
      <c r="F17" s="34"/>
      <c r="G17" s="50">
        <f aca="true" t="shared" si="5" ref="G17:G26">SUM(C17:E17)</f>
        <v>18091</v>
      </c>
      <c r="H17" s="34"/>
      <c r="I17" s="4">
        <f>12395</f>
        <v>12395</v>
      </c>
      <c r="J17" s="49"/>
      <c r="K17" s="4">
        <v>5718</v>
      </c>
      <c r="L17" s="34"/>
      <c r="M17" s="50">
        <f t="shared" si="1"/>
        <v>18113</v>
      </c>
      <c r="N17" s="34"/>
      <c r="O17" s="32">
        <f t="shared" si="2"/>
        <v>-19</v>
      </c>
      <c r="P17" s="34"/>
      <c r="Q17" s="32">
        <f t="shared" si="3"/>
        <v>41</v>
      </c>
      <c r="R17" s="34"/>
      <c r="S17" s="35">
        <f t="shared" si="4"/>
        <v>22</v>
      </c>
      <c r="T17" s="53"/>
    </row>
    <row r="18" spans="1:20" s="45" customFormat="1" ht="16.5" customHeight="1">
      <c r="A18" s="37"/>
      <c r="B18" s="52" t="s">
        <v>22</v>
      </c>
      <c r="C18" s="39">
        <f>6228+4550</f>
        <v>10778</v>
      </c>
      <c r="D18" s="40"/>
      <c r="E18" s="41">
        <f>1870+3478</f>
        <v>5348</v>
      </c>
      <c r="F18" s="42"/>
      <c r="G18" s="41">
        <f t="shared" si="5"/>
        <v>16126</v>
      </c>
      <c r="H18" s="42"/>
      <c r="I18" s="43">
        <f>6132+4617</f>
        <v>10749</v>
      </c>
      <c r="J18" s="40"/>
      <c r="K18" s="41">
        <f>1981+3405</f>
        <v>5386</v>
      </c>
      <c r="L18" s="42"/>
      <c r="M18" s="41">
        <f>SUM(I18:K18)</f>
        <v>16135</v>
      </c>
      <c r="N18" s="42"/>
      <c r="O18" s="32">
        <f t="shared" si="2"/>
        <v>-29</v>
      </c>
      <c r="P18" s="34"/>
      <c r="Q18" s="32">
        <f t="shared" si="3"/>
        <v>38</v>
      </c>
      <c r="R18" s="34"/>
      <c r="S18" s="35">
        <f t="shared" si="4"/>
        <v>9</v>
      </c>
      <c r="T18" s="44"/>
    </row>
    <row r="19" spans="1:20" s="45" customFormat="1" ht="16.5" customHeight="1">
      <c r="A19" s="37"/>
      <c r="B19" s="52" t="s">
        <v>23</v>
      </c>
      <c r="C19" s="39">
        <f>C17-C18</f>
        <v>1636</v>
      </c>
      <c r="D19" s="40"/>
      <c r="E19" s="41">
        <f>E17-E18</f>
        <v>329</v>
      </c>
      <c r="F19" s="42"/>
      <c r="G19" s="41">
        <f t="shared" si="5"/>
        <v>1965</v>
      </c>
      <c r="H19" s="42"/>
      <c r="I19" s="43">
        <f>I17-I18</f>
        <v>1646</v>
      </c>
      <c r="J19" s="40"/>
      <c r="K19" s="43">
        <f>K17-K18</f>
        <v>332</v>
      </c>
      <c r="L19" s="42"/>
      <c r="M19" s="41">
        <f t="shared" si="1"/>
        <v>1978</v>
      </c>
      <c r="N19" s="42"/>
      <c r="O19" s="32">
        <f t="shared" si="2"/>
        <v>10</v>
      </c>
      <c r="P19" s="34"/>
      <c r="Q19" s="32">
        <f t="shared" si="3"/>
        <v>3</v>
      </c>
      <c r="R19" s="34"/>
      <c r="S19" s="35">
        <f t="shared" si="4"/>
        <v>13</v>
      </c>
      <c r="T19" s="44"/>
    </row>
    <row r="20" spans="1:21" s="4" customFormat="1" ht="16.5" customHeight="1">
      <c r="A20" s="47"/>
      <c r="B20" s="2" t="s">
        <v>24</v>
      </c>
      <c r="C20" s="50">
        <v>16258</v>
      </c>
      <c r="D20" s="34"/>
      <c r="E20" s="50">
        <v>4777</v>
      </c>
      <c r="F20" s="34"/>
      <c r="G20" s="50">
        <f t="shared" si="5"/>
        <v>21035</v>
      </c>
      <c r="H20" s="34"/>
      <c r="I20" s="32">
        <v>16298</v>
      </c>
      <c r="J20" s="34"/>
      <c r="K20" s="50">
        <v>5043</v>
      </c>
      <c r="L20" s="34"/>
      <c r="M20" s="50">
        <f t="shared" si="1"/>
        <v>21341</v>
      </c>
      <c r="N20" s="34"/>
      <c r="O20" s="32">
        <f t="shared" si="2"/>
        <v>40</v>
      </c>
      <c r="P20" s="34"/>
      <c r="Q20" s="32">
        <f t="shared" si="3"/>
        <v>266</v>
      </c>
      <c r="R20" s="34"/>
      <c r="S20" s="35">
        <f t="shared" si="4"/>
        <v>306</v>
      </c>
      <c r="T20" s="53"/>
      <c r="U20" s="54"/>
    </row>
    <row r="21" spans="1:20" s="4" customFormat="1" ht="16.5" customHeight="1">
      <c r="A21" s="47"/>
      <c r="B21" s="2" t="s">
        <v>25</v>
      </c>
      <c r="C21" s="55">
        <v>14793</v>
      </c>
      <c r="D21" s="56"/>
      <c r="E21" s="50">
        <v>3257</v>
      </c>
      <c r="F21" s="34"/>
      <c r="G21" s="50">
        <f t="shared" si="5"/>
        <v>18050</v>
      </c>
      <c r="H21" s="34"/>
      <c r="I21" s="57">
        <v>14927</v>
      </c>
      <c r="J21" s="56"/>
      <c r="K21" s="50">
        <v>3406</v>
      </c>
      <c r="L21" s="34"/>
      <c r="M21" s="50">
        <f t="shared" si="1"/>
        <v>18333</v>
      </c>
      <c r="N21" s="34"/>
      <c r="O21" s="32">
        <f t="shared" si="2"/>
        <v>134</v>
      </c>
      <c r="P21" s="34"/>
      <c r="Q21" s="32">
        <f t="shared" si="3"/>
        <v>149</v>
      </c>
      <c r="R21" s="34"/>
      <c r="S21" s="35">
        <f t="shared" si="4"/>
        <v>283</v>
      </c>
      <c r="T21" s="36"/>
    </row>
    <row r="22" spans="1:20" s="4" customFormat="1" ht="16.5" customHeight="1">
      <c r="A22" s="47"/>
      <c r="B22" s="2" t="s">
        <v>26</v>
      </c>
      <c r="C22" s="55">
        <v>4648</v>
      </c>
      <c r="D22" s="56"/>
      <c r="E22" s="50">
        <v>3753</v>
      </c>
      <c r="F22" s="34"/>
      <c r="G22" s="50">
        <f t="shared" si="5"/>
        <v>8401</v>
      </c>
      <c r="H22" s="34"/>
      <c r="I22" s="57">
        <f>SUM(I23:I24)</f>
        <v>4910</v>
      </c>
      <c r="J22" s="56"/>
      <c r="K22" s="57">
        <f>SUM(K23:K24)</f>
        <v>4099</v>
      </c>
      <c r="L22" s="34"/>
      <c r="M22" s="57">
        <f>SUM(M23:M24)</f>
        <v>9009</v>
      </c>
      <c r="N22" s="34"/>
      <c r="O22" s="32">
        <f t="shared" si="2"/>
        <v>262</v>
      </c>
      <c r="P22" s="34"/>
      <c r="Q22" s="32">
        <f t="shared" si="3"/>
        <v>346</v>
      </c>
      <c r="R22" s="34"/>
      <c r="S22" s="35">
        <f t="shared" si="4"/>
        <v>608</v>
      </c>
      <c r="T22" s="36"/>
    </row>
    <row r="23" spans="1:20" s="45" customFormat="1" ht="16.5" customHeight="1">
      <c r="A23" s="37"/>
      <c r="B23" s="52" t="s">
        <v>27</v>
      </c>
      <c r="C23" s="41">
        <v>1280</v>
      </c>
      <c r="D23" s="42"/>
      <c r="E23" s="41">
        <v>1065</v>
      </c>
      <c r="F23" s="42"/>
      <c r="G23" s="41">
        <f t="shared" si="5"/>
        <v>2345</v>
      </c>
      <c r="H23" s="42"/>
      <c r="I23" s="58">
        <v>1240</v>
      </c>
      <c r="J23" s="42"/>
      <c r="K23" s="41">
        <v>1104</v>
      </c>
      <c r="L23" s="42"/>
      <c r="M23" s="41">
        <f t="shared" si="1"/>
        <v>2344</v>
      </c>
      <c r="N23" s="42"/>
      <c r="O23" s="32">
        <f t="shared" si="2"/>
        <v>-40</v>
      </c>
      <c r="P23" s="34"/>
      <c r="Q23" s="32">
        <f t="shared" si="3"/>
        <v>39</v>
      </c>
      <c r="R23" s="34"/>
      <c r="S23" s="35">
        <f t="shared" si="4"/>
        <v>-1</v>
      </c>
      <c r="T23" s="59"/>
    </row>
    <row r="24" spans="1:20" s="45" customFormat="1" ht="16.5" customHeight="1">
      <c r="A24" s="37"/>
      <c r="B24" s="46" t="s">
        <v>23</v>
      </c>
      <c r="C24" s="39">
        <f>C22-C23</f>
        <v>3368</v>
      </c>
      <c r="D24" s="40"/>
      <c r="E24" s="41">
        <f>E22-E23</f>
        <v>2688</v>
      </c>
      <c r="F24" s="42"/>
      <c r="G24" s="41">
        <f t="shared" si="5"/>
        <v>6056</v>
      </c>
      <c r="H24" s="42"/>
      <c r="I24" s="43">
        <f>3763-93</f>
        <v>3670</v>
      </c>
      <c r="J24" s="40"/>
      <c r="K24" s="43">
        <f>3090-95</f>
        <v>2995</v>
      </c>
      <c r="L24" s="42"/>
      <c r="M24" s="41">
        <f t="shared" si="1"/>
        <v>6665</v>
      </c>
      <c r="N24" s="42"/>
      <c r="O24" s="32">
        <f t="shared" si="2"/>
        <v>302</v>
      </c>
      <c r="P24" s="34"/>
      <c r="Q24" s="32">
        <f t="shared" si="3"/>
        <v>307</v>
      </c>
      <c r="R24" s="34"/>
      <c r="S24" s="35">
        <f t="shared" si="4"/>
        <v>609</v>
      </c>
      <c r="T24" s="44"/>
    </row>
    <row r="25" spans="1:20" s="4" customFormat="1" ht="16.5" customHeight="1">
      <c r="A25" s="47"/>
      <c r="B25" s="60" t="s">
        <v>28</v>
      </c>
      <c r="C25" s="48">
        <v>9290</v>
      </c>
      <c r="D25" s="49"/>
      <c r="E25" s="50">
        <v>5005</v>
      </c>
      <c r="F25" s="34"/>
      <c r="G25" s="50">
        <f t="shared" si="5"/>
        <v>14295</v>
      </c>
      <c r="H25" s="34"/>
      <c r="I25" s="51">
        <v>9696</v>
      </c>
      <c r="J25" s="49"/>
      <c r="K25" s="50">
        <v>5145</v>
      </c>
      <c r="L25" s="34"/>
      <c r="M25" s="50">
        <f t="shared" si="1"/>
        <v>14841</v>
      </c>
      <c r="N25" s="34"/>
      <c r="O25" s="32">
        <f t="shared" si="2"/>
        <v>406</v>
      </c>
      <c r="P25" s="34"/>
      <c r="Q25" s="32">
        <f t="shared" si="3"/>
        <v>140</v>
      </c>
      <c r="R25" s="34"/>
      <c r="S25" s="35">
        <f t="shared" si="4"/>
        <v>546</v>
      </c>
      <c r="T25" s="36"/>
    </row>
    <row r="26" spans="1:20" s="4" customFormat="1" ht="16.5" customHeight="1">
      <c r="A26" s="47"/>
      <c r="B26" s="2" t="s">
        <v>29</v>
      </c>
      <c r="C26" s="48">
        <f>30823</f>
        <v>30823</v>
      </c>
      <c r="D26" s="49"/>
      <c r="E26" s="50">
        <f>8724</f>
        <v>8724</v>
      </c>
      <c r="F26" s="34"/>
      <c r="G26" s="50">
        <f t="shared" si="5"/>
        <v>39547</v>
      </c>
      <c r="H26" s="34"/>
      <c r="I26" s="51">
        <f>28830+2378-61</f>
        <v>31147</v>
      </c>
      <c r="J26" s="49"/>
      <c r="K26" s="50">
        <f>8632+599-63</f>
        <v>9168</v>
      </c>
      <c r="L26" s="34"/>
      <c r="M26" s="50">
        <f t="shared" si="1"/>
        <v>40315</v>
      </c>
      <c r="N26" s="34"/>
      <c r="O26" s="32">
        <f t="shared" si="2"/>
        <v>324</v>
      </c>
      <c r="P26" s="34"/>
      <c r="Q26" s="32">
        <f t="shared" si="3"/>
        <v>444</v>
      </c>
      <c r="R26" s="34"/>
      <c r="S26" s="35">
        <f t="shared" si="4"/>
        <v>768</v>
      </c>
      <c r="T26" s="36"/>
    </row>
    <row r="27" spans="1:20" s="4" customFormat="1" ht="13.5" customHeight="1">
      <c r="A27" s="47"/>
      <c r="B27" s="2" t="s">
        <v>30</v>
      </c>
      <c r="C27" s="48"/>
      <c r="D27" s="49"/>
      <c r="E27" s="50"/>
      <c r="F27" s="34"/>
      <c r="G27" s="50"/>
      <c r="H27" s="34"/>
      <c r="I27" s="51"/>
      <c r="J27" s="49"/>
      <c r="K27" s="50"/>
      <c r="L27" s="34"/>
      <c r="M27" s="50"/>
      <c r="N27" s="34"/>
      <c r="O27" s="32"/>
      <c r="P27" s="34"/>
      <c r="Q27" s="32"/>
      <c r="R27" s="34"/>
      <c r="S27" s="35"/>
      <c r="T27" s="36"/>
    </row>
    <row r="28" spans="1:20" s="4" customFormat="1" ht="16.5" customHeight="1">
      <c r="A28" s="47"/>
      <c r="B28" s="2" t="s">
        <v>31</v>
      </c>
      <c r="C28" s="61">
        <f>10997+300</f>
        <v>11297</v>
      </c>
      <c r="D28" s="62">
        <v>1</v>
      </c>
      <c r="E28" s="63">
        <f>11205+700</f>
        <v>11905</v>
      </c>
      <c r="F28" s="62">
        <v>1</v>
      </c>
      <c r="G28" s="63">
        <v>23202</v>
      </c>
      <c r="H28" s="64">
        <v>1</v>
      </c>
      <c r="I28" s="51">
        <v>11432</v>
      </c>
      <c r="J28" s="49"/>
      <c r="K28" s="50">
        <v>12613</v>
      </c>
      <c r="L28" s="34"/>
      <c r="M28" s="50">
        <f t="shared" si="1"/>
        <v>24045</v>
      </c>
      <c r="N28" s="34"/>
      <c r="O28" s="32">
        <f t="shared" si="2"/>
        <v>135</v>
      </c>
      <c r="P28" s="34"/>
      <c r="Q28" s="32">
        <f t="shared" si="3"/>
        <v>708</v>
      </c>
      <c r="R28" s="34"/>
      <c r="S28" s="35">
        <f t="shared" si="4"/>
        <v>843</v>
      </c>
      <c r="T28" s="36"/>
    </row>
    <row r="29" spans="1:20" s="4" customFormat="1" ht="16.5" customHeight="1">
      <c r="A29" s="47"/>
      <c r="B29" s="2" t="s">
        <v>32</v>
      </c>
      <c r="C29" s="48">
        <v>6456</v>
      </c>
      <c r="D29" s="49"/>
      <c r="E29" s="50">
        <v>6148</v>
      </c>
      <c r="F29" s="34"/>
      <c r="G29" s="50">
        <f>SUM(C29:E29)</f>
        <v>12604</v>
      </c>
      <c r="H29" s="34"/>
      <c r="I29" s="51">
        <v>6491</v>
      </c>
      <c r="J29" s="49"/>
      <c r="K29" s="50">
        <v>6176</v>
      </c>
      <c r="L29" s="34"/>
      <c r="M29" s="50">
        <f t="shared" si="1"/>
        <v>12667</v>
      </c>
      <c r="N29" s="34"/>
      <c r="O29" s="32">
        <f t="shared" si="2"/>
        <v>35</v>
      </c>
      <c r="P29" s="34"/>
      <c r="Q29" s="32">
        <f t="shared" si="3"/>
        <v>28</v>
      </c>
      <c r="R29" s="34"/>
      <c r="S29" s="35">
        <f t="shared" si="4"/>
        <v>63</v>
      </c>
      <c r="T29" s="36"/>
    </row>
    <row r="30" spans="1:20" s="4" customFormat="1" ht="16.5" customHeight="1">
      <c r="A30" s="47"/>
      <c r="B30" s="2" t="s">
        <v>33</v>
      </c>
      <c r="C30" s="48">
        <v>4557</v>
      </c>
      <c r="D30" s="49"/>
      <c r="E30" s="50">
        <v>1384</v>
      </c>
      <c r="F30" s="34"/>
      <c r="G30" s="50">
        <f>SUM(C30:E30)</f>
        <v>5941</v>
      </c>
      <c r="H30" s="34"/>
      <c r="I30" s="51">
        <v>4627</v>
      </c>
      <c r="J30" s="49"/>
      <c r="K30" s="50">
        <v>1565</v>
      </c>
      <c r="L30" s="34"/>
      <c r="M30" s="50">
        <f t="shared" si="1"/>
        <v>6192</v>
      </c>
      <c r="N30" s="34"/>
      <c r="O30" s="32">
        <f t="shared" si="2"/>
        <v>70</v>
      </c>
      <c r="P30" s="34"/>
      <c r="Q30" s="32">
        <f t="shared" si="3"/>
        <v>181</v>
      </c>
      <c r="R30" s="34"/>
      <c r="S30" s="35">
        <f t="shared" si="4"/>
        <v>251</v>
      </c>
      <c r="T30" s="36"/>
    </row>
    <row r="31" spans="1:20" s="4" customFormat="1" ht="7.5" customHeight="1">
      <c r="A31" s="65"/>
      <c r="B31" s="6"/>
      <c r="C31" s="48"/>
      <c r="D31" s="66"/>
      <c r="E31" s="67"/>
      <c r="F31" s="68"/>
      <c r="G31" s="50"/>
      <c r="H31" s="68"/>
      <c r="I31" s="51"/>
      <c r="J31" s="66"/>
      <c r="K31" s="67"/>
      <c r="L31" s="68"/>
      <c r="M31" s="50"/>
      <c r="N31" s="68"/>
      <c r="O31" s="69"/>
      <c r="P31" s="68"/>
      <c r="Q31" s="69"/>
      <c r="R31" s="68"/>
      <c r="S31" s="70"/>
      <c r="T31" s="53"/>
    </row>
    <row r="32" spans="1:20" s="4" customFormat="1" ht="4.5" customHeight="1">
      <c r="A32" s="27"/>
      <c r="B32" s="71"/>
      <c r="C32" s="72"/>
      <c r="D32" s="49"/>
      <c r="E32" s="50"/>
      <c r="F32" s="34"/>
      <c r="G32" s="29"/>
      <c r="H32" s="34"/>
      <c r="I32" s="73"/>
      <c r="J32" s="49"/>
      <c r="K32" s="50"/>
      <c r="L32" s="34"/>
      <c r="M32" s="29"/>
      <c r="N32" s="34"/>
      <c r="O32" s="32"/>
      <c r="P32" s="34"/>
      <c r="Q32" s="32"/>
      <c r="R32" s="34"/>
      <c r="S32" s="35"/>
      <c r="T32" s="74"/>
    </row>
    <row r="33" spans="1:20" s="4" customFormat="1" ht="15.75" customHeight="1">
      <c r="A33" s="47"/>
      <c r="B33" s="75" t="s">
        <v>34</v>
      </c>
      <c r="C33" s="48">
        <f>SUM(C6,C9,C10,C14,C15,C17,C20,C21,C22,C25,C26,C28,C29,C30)</f>
        <v>188068</v>
      </c>
      <c r="D33" s="49"/>
      <c r="E33" s="48">
        <f>SUM(E6,E9,E10,E14,E15,E17,E20,E21,E22,E25,E26,E28,E29,E30)</f>
        <v>103448</v>
      </c>
      <c r="F33" s="49"/>
      <c r="G33" s="50">
        <f>SUM(C33:E33)</f>
        <v>291516</v>
      </c>
      <c r="H33" s="34"/>
      <c r="I33" s="51">
        <f>SUM(I6,I9,I10,I14,I15,I17,I20,I21,I22,I25,I26,I28,I29,I30)</f>
        <v>188875</v>
      </c>
      <c r="J33" s="49"/>
      <c r="K33" s="48">
        <f>SUM(K6,K9,K10,K14,K15,K17,K20,K21,K22,K25,K26,K28,K29,K30)</f>
        <v>104749</v>
      </c>
      <c r="L33" s="49"/>
      <c r="M33" s="50">
        <f t="shared" si="1"/>
        <v>293624</v>
      </c>
      <c r="N33" s="34"/>
      <c r="O33" s="51">
        <f>SUM(O6,O9,O10,O14,O15,O17,O20,O21,O22,O25,O26,O28,O29,O30)</f>
        <v>807</v>
      </c>
      <c r="P33" s="49"/>
      <c r="Q33" s="48">
        <f>SUM(Q6,Q9,Q10,Q14,Q15,Q17,Q20,Q21,Q22,Q25,Q26,Q28,Q29,Q30)</f>
        <v>1301</v>
      </c>
      <c r="R33" s="51"/>
      <c r="S33" s="48">
        <f>SUM(S6,S9,S10,S14,S15,S17,S20,S21,S22,S25,S26,S28,S29,S30)</f>
        <v>2108</v>
      </c>
      <c r="T33" s="76"/>
    </row>
    <row r="34" spans="1:20" s="4" customFormat="1" ht="4.5" customHeight="1">
      <c r="A34" s="65"/>
      <c r="B34" s="77"/>
      <c r="C34" s="78"/>
      <c r="D34" s="79"/>
      <c r="E34" s="65"/>
      <c r="F34" s="80"/>
      <c r="G34" s="67"/>
      <c r="H34" s="80"/>
      <c r="I34" s="81"/>
      <c r="J34" s="79"/>
      <c r="K34" s="65"/>
      <c r="L34" s="80"/>
      <c r="M34" s="67"/>
      <c r="N34" s="80"/>
      <c r="O34" s="69"/>
      <c r="P34" s="80"/>
      <c r="Q34" s="65"/>
      <c r="R34" s="80"/>
      <c r="S34" s="70"/>
      <c r="T34" s="80"/>
    </row>
    <row r="35" spans="3:10" s="4" customFormat="1" ht="3.75" customHeight="1">
      <c r="C35" s="2"/>
      <c r="D35" s="2"/>
      <c r="I35" s="2"/>
      <c r="J35" s="2"/>
    </row>
    <row r="36" spans="1:13" ht="6.75" customHeight="1">
      <c r="A36" s="82"/>
      <c r="B36" s="4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</row>
    <row r="37" spans="1:15" ht="16.5" customHeight="1">
      <c r="A37" s="82"/>
      <c r="B37" s="82" t="s">
        <v>35</v>
      </c>
      <c r="C37" s="84"/>
      <c r="D37" s="84"/>
      <c r="I37" s="84"/>
      <c r="J37" s="84"/>
      <c r="O37" s="85"/>
    </row>
    <row r="38" spans="1:15" ht="16.5" customHeight="1">
      <c r="A38" s="82"/>
      <c r="B38" s="82"/>
      <c r="C38" s="84"/>
      <c r="D38" s="84"/>
      <c r="I38" s="84"/>
      <c r="J38" s="84"/>
      <c r="O38" s="85"/>
    </row>
  </sheetData>
  <mergeCells count="9">
    <mergeCell ref="C36:M36"/>
    <mergeCell ref="J4:J5"/>
    <mergeCell ref="K4:L5"/>
    <mergeCell ref="O4:P5"/>
    <mergeCell ref="Q4:R5"/>
    <mergeCell ref="C4:C5"/>
    <mergeCell ref="D4:D5"/>
    <mergeCell ref="E4:F5"/>
    <mergeCell ref="I4:I5"/>
  </mergeCells>
  <printOptions/>
  <pageMargins left="0.3" right="0.21" top="0.47" bottom="0.25" header="0.22" footer="0.1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0">
      <selection activeCell="E29" sqref="E29"/>
    </sheetView>
  </sheetViews>
  <sheetFormatPr defaultColWidth="9.140625" defaultRowHeight="12.75"/>
  <cols>
    <col min="1" max="1" width="2.7109375" style="83" customWidth="1"/>
    <col min="2" max="2" width="55.421875" style="83" customWidth="1"/>
    <col min="3" max="3" width="15.7109375" style="83" customWidth="1"/>
    <col min="4" max="4" width="7.7109375" style="83" customWidth="1"/>
    <col min="5" max="5" width="15.7109375" style="83" customWidth="1"/>
    <col min="6" max="6" width="4.421875" style="83" customWidth="1"/>
    <col min="7" max="7" width="15.7109375" style="83" customWidth="1"/>
    <col min="8" max="8" width="7.7109375" style="83" customWidth="1"/>
    <col min="9" max="16384" width="9.140625" style="83" customWidth="1"/>
  </cols>
  <sheetData>
    <row r="1" spans="1:7" s="4" customFormat="1" ht="15.75">
      <c r="A1" s="1" t="s">
        <v>36</v>
      </c>
      <c r="B1" s="7"/>
      <c r="C1" s="3"/>
      <c r="D1" s="3"/>
      <c r="E1" s="3"/>
      <c r="F1" s="3"/>
      <c r="G1" s="3"/>
    </row>
    <row r="2" spans="1:7" s="4" customFormat="1" ht="6" customHeight="1">
      <c r="A2" s="1"/>
      <c r="B2" s="7"/>
      <c r="C2" s="3"/>
      <c r="D2" s="3"/>
      <c r="E2" s="3"/>
      <c r="F2" s="3"/>
      <c r="G2" s="3"/>
    </row>
    <row r="3" spans="1:7" s="4" customFormat="1" ht="15.75">
      <c r="A3" s="5" t="s">
        <v>37</v>
      </c>
      <c r="B3" s="86"/>
      <c r="C3" s="7"/>
      <c r="D3" s="7"/>
      <c r="E3" s="7"/>
      <c r="F3" s="7"/>
      <c r="G3" s="7"/>
    </row>
    <row r="4" spans="1:8" s="4" customFormat="1" ht="24" customHeight="1">
      <c r="A4" s="87"/>
      <c r="B4" s="18" t="s">
        <v>5</v>
      </c>
      <c r="C4" s="283" t="s">
        <v>38</v>
      </c>
      <c r="D4" s="284"/>
      <c r="E4" s="283" t="s">
        <v>2</v>
      </c>
      <c r="F4" s="284"/>
      <c r="G4" s="283" t="s">
        <v>39</v>
      </c>
      <c r="H4" s="284"/>
    </row>
    <row r="5" spans="1:8" s="4" customFormat="1" ht="19.5" customHeight="1">
      <c r="A5" s="8"/>
      <c r="B5" s="28" t="s">
        <v>11</v>
      </c>
      <c r="C5" s="72">
        <v>23111</v>
      </c>
      <c r="D5" s="30"/>
      <c r="E5" s="72">
        <v>22044</v>
      </c>
      <c r="F5" s="30"/>
      <c r="G5" s="72">
        <v>21636</v>
      </c>
      <c r="H5" s="30"/>
    </row>
    <row r="6" spans="1:8" s="45" customFormat="1" ht="15.75" customHeight="1">
      <c r="A6" s="88"/>
      <c r="B6" s="38" t="s">
        <v>12</v>
      </c>
      <c r="C6" s="41">
        <v>14822</v>
      </c>
      <c r="D6" s="42"/>
      <c r="E6" s="41">
        <v>13803</v>
      </c>
      <c r="F6" s="42"/>
      <c r="G6" s="41">
        <v>13797</v>
      </c>
      <c r="H6" s="42"/>
    </row>
    <row r="7" spans="1:8" s="45" customFormat="1" ht="15.75" customHeight="1">
      <c r="A7" s="88"/>
      <c r="B7" s="46" t="s">
        <v>13</v>
      </c>
      <c r="C7" s="41">
        <v>8289</v>
      </c>
      <c r="D7" s="42"/>
      <c r="E7" s="41">
        <v>8241</v>
      </c>
      <c r="F7" s="42"/>
      <c r="G7" s="41">
        <v>7839</v>
      </c>
      <c r="H7" s="42"/>
    </row>
    <row r="8" spans="1:8" s="4" customFormat="1" ht="15.75" customHeight="1">
      <c r="A8" s="89"/>
      <c r="B8" s="2" t="s">
        <v>14</v>
      </c>
      <c r="C8" s="50">
        <v>217</v>
      </c>
      <c r="D8" s="34"/>
      <c r="E8" s="50">
        <v>182</v>
      </c>
      <c r="F8" s="34"/>
      <c r="G8" s="50">
        <v>180</v>
      </c>
      <c r="H8" s="34"/>
    </row>
    <row r="9" spans="1:8" s="4" customFormat="1" ht="15.75" customHeight="1">
      <c r="A9" s="89"/>
      <c r="B9" s="2" t="s">
        <v>15</v>
      </c>
      <c r="C9" s="50">
        <v>101715</v>
      </c>
      <c r="D9" s="34"/>
      <c r="E9" s="50">
        <v>92620</v>
      </c>
      <c r="F9" s="34"/>
      <c r="G9" s="50">
        <v>91021</v>
      </c>
      <c r="H9" s="34"/>
    </row>
    <row r="10" spans="1:8" s="45" customFormat="1" ht="15.75" customHeight="1">
      <c r="A10" s="90"/>
      <c r="B10" s="52" t="s">
        <v>16</v>
      </c>
      <c r="C10" s="41">
        <v>2282</v>
      </c>
      <c r="D10" s="42"/>
      <c r="E10" s="41">
        <v>2234</v>
      </c>
      <c r="F10" s="42"/>
      <c r="G10" s="41">
        <v>2008</v>
      </c>
      <c r="H10" s="42"/>
    </row>
    <row r="11" spans="1:8" s="45" customFormat="1" ht="15.75" customHeight="1">
      <c r="A11" s="90"/>
      <c r="B11" s="52" t="s">
        <v>17</v>
      </c>
      <c r="C11" s="41">
        <v>74723</v>
      </c>
      <c r="D11" s="42"/>
      <c r="E11" s="41">
        <v>65159</v>
      </c>
      <c r="F11" s="42"/>
      <c r="G11" s="41">
        <v>64362</v>
      </c>
      <c r="H11" s="42"/>
    </row>
    <row r="12" spans="1:8" s="45" customFormat="1" ht="15.75" customHeight="1">
      <c r="A12" s="90"/>
      <c r="B12" s="52" t="s">
        <v>13</v>
      </c>
      <c r="C12" s="41">
        <v>24710</v>
      </c>
      <c r="D12" s="42"/>
      <c r="E12" s="41">
        <v>25227</v>
      </c>
      <c r="F12" s="42"/>
      <c r="G12" s="41">
        <v>24651</v>
      </c>
      <c r="H12" s="42"/>
    </row>
    <row r="13" spans="1:8" s="4" customFormat="1" ht="15.75" customHeight="1">
      <c r="A13" s="89"/>
      <c r="B13" s="2" t="s">
        <v>18</v>
      </c>
      <c r="C13" s="50">
        <v>2932</v>
      </c>
      <c r="D13" s="34"/>
      <c r="E13" s="50">
        <v>2980</v>
      </c>
      <c r="F13" s="34"/>
      <c r="G13" s="50">
        <v>2988</v>
      </c>
      <c r="H13" s="34"/>
    </row>
    <row r="14" spans="1:8" s="4" customFormat="1" ht="15.75" customHeight="1">
      <c r="A14" s="89"/>
      <c r="B14" s="2" t="s">
        <v>19</v>
      </c>
      <c r="C14" s="50">
        <v>15333</v>
      </c>
      <c r="D14" s="34"/>
      <c r="E14" s="50">
        <v>12524</v>
      </c>
      <c r="F14" s="34"/>
      <c r="G14" s="50">
        <v>12943</v>
      </c>
      <c r="H14" s="34"/>
    </row>
    <row r="15" spans="1:8" s="4" customFormat="1" ht="15.75" customHeight="1">
      <c r="A15" s="91"/>
      <c r="B15" s="92" t="s">
        <v>20</v>
      </c>
      <c r="C15" s="50"/>
      <c r="D15" s="34"/>
      <c r="E15" s="50"/>
      <c r="F15" s="34"/>
      <c r="G15" s="50"/>
      <c r="H15" s="34"/>
    </row>
    <row r="16" spans="1:8" s="4" customFormat="1" ht="12" customHeight="1">
      <c r="A16" s="91"/>
      <c r="B16" s="92" t="s">
        <v>40</v>
      </c>
      <c r="C16" s="50">
        <v>18157</v>
      </c>
      <c r="D16" s="34"/>
      <c r="E16" s="50">
        <v>18091</v>
      </c>
      <c r="F16" s="34"/>
      <c r="G16" s="50">
        <v>18113</v>
      </c>
      <c r="H16" s="34"/>
    </row>
    <row r="17" spans="1:8" s="45" customFormat="1" ht="15.75" customHeight="1">
      <c r="A17" s="90"/>
      <c r="B17" s="52" t="s">
        <v>41</v>
      </c>
      <c r="C17" s="41">
        <v>16187</v>
      </c>
      <c r="D17" s="42"/>
      <c r="E17" s="41">
        <v>16126</v>
      </c>
      <c r="F17" s="42"/>
      <c r="G17" s="41">
        <v>16135</v>
      </c>
      <c r="H17" s="42"/>
    </row>
    <row r="18" spans="1:8" s="45" customFormat="1" ht="15.75" customHeight="1">
      <c r="A18" s="90"/>
      <c r="B18" s="52" t="s">
        <v>42</v>
      </c>
      <c r="C18" s="41">
        <v>1970</v>
      </c>
      <c r="D18" s="42"/>
      <c r="E18" s="41">
        <v>1965</v>
      </c>
      <c r="F18" s="42"/>
      <c r="G18" s="41">
        <v>1978</v>
      </c>
      <c r="H18" s="42"/>
    </row>
    <row r="19" spans="1:8" s="4" customFormat="1" ht="15.75" customHeight="1">
      <c r="A19" s="91"/>
      <c r="B19" s="2" t="s">
        <v>24</v>
      </c>
      <c r="C19" s="50">
        <v>18476</v>
      </c>
      <c r="D19" s="34"/>
      <c r="E19" s="50">
        <v>21035</v>
      </c>
      <c r="F19" s="34"/>
      <c r="G19" s="50">
        <v>21341</v>
      </c>
      <c r="H19" s="34"/>
    </row>
    <row r="20" spans="1:8" s="4" customFormat="1" ht="15.75" customHeight="1">
      <c r="A20" s="91"/>
      <c r="B20" s="2" t="s">
        <v>25</v>
      </c>
      <c r="C20" s="50">
        <v>17801</v>
      </c>
      <c r="D20" s="34"/>
      <c r="E20" s="50">
        <v>18050</v>
      </c>
      <c r="F20" s="34"/>
      <c r="G20" s="50">
        <v>18333</v>
      </c>
      <c r="H20" s="34"/>
    </row>
    <row r="21" spans="1:8" s="4" customFormat="1" ht="15.75" customHeight="1">
      <c r="A21" s="91"/>
      <c r="B21" s="2" t="s">
        <v>26</v>
      </c>
      <c r="C21" s="50">
        <v>7494</v>
      </c>
      <c r="D21" s="34"/>
      <c r="E21" s="50">
        <v>8401</v>
      </c>
      <c r="F21" s="34"/>
      <c r="G21" s="50">
        <f>SUM(G22:G23)</f>
        <v>9009</v>
      </c>
      <c r="H21" s="34"/>
    </row>
    <row r="22" spans="1:8" s="45" customFormat="1" ht="15.75" customHeight="1">
      <c r="A22" s="90"/>
      <c r="B22" s="52" t="s">
        <v>43</v>
      </c>
      <c r="C22" s="41">
        <v>2234</v>
      </c>
      <c r="D22" s="42"/>
      <c r="E22" s="41">
        <v>2345</v>
      </c>
      <c r="F22" s="42"/>
      <c r="G22" s="41">
        <v>2344</v>
      </c>
      <c r="H22" s="42"/>
    </row>
    <row r="23" spans="1:8" s="45" customFormat="1" ht="15.75" customHeight="1">
      <c r="A23" s="88"/>
      <c r="B23" s="46" t="s">
        <v>44</v>
      </c>
      <c r="C23" s="41">
        <v>5260</v>
      </c>
      <c r="D23" s="42"/>
      <c r="E23" s="41">
        <v>6056</v>
      </c>
      <c r="F23" s="42"/>
      <c r="G23" s="41">
        <f>6853-93-95</f>
        <v>6665</v>
      </c>
      <c r="H23" s="42"/>
    </row>
    <row r="24" spans="1:8" s="4" customFormat="1" ht="15.75" customHeight="1">
      <c r="A24" s="89"/>
      <c r="B24" s="60" t="s">
        <v>28</v>
      </c>
      <c r="C24" s="50">
        <v>12394</v>
      </c>
      <c r="D24" s="34"/>
      <c r="E24" s="50">
        <v>14295</v>
      </c>
      <c r="F24" s="34"/>
      <c r="G24" s="50">
        <v>14841</v>
      </c>
      <c r="H24" s="34"/>
    </row>
    <row r="25" spans="1:8" s="4" customFormat="1" ht="15.75" customHeight="1">
      <c r="A25" s="89"/>
      <c r="B25" s="93" t="s">
        <v>29</v>
      </c>
      <c r="C25" s="50"/>
      <c r="D25" s="34"/>
      <c r="E25" s="50"/>
      <c r="F25" s="34"/>
      <c r="G25" s="50"/>
      <c r="H25" s="34"/>
    </row>
    <row r="26" spans="1:8" s="4" customFormat="1" ht="12" customHeight="1">
      <c r="A26" s="89"/>
      <c r="B26" s="2" t="s">
        <v>30</v>
      </c>
      <c r="C26" s="50">
        <v>38738</v>
      </c>
      <c r="D26" s="34"/>
      <c r="E26" s="50">
        <v>39547</v>
      </c>
      <c r="F26" s="34"/>
      <c r="G26" s="50">
        <v>40315</v>
      </c>
      <c r="H26" s="34"/>
    </row>
    <row r="27" spans="1:8" s="4" customFormat="1" ht="15.75" customHeight="1">
      <c r="A27" s="91"/>
      <c r="B27" s="2" t="s">
        <v>31</v>
      </c>
      <c r="C27" s="271">
        <f>21331+1000</f>
        <v>22331</v>
      </c>
      <c r="D27" s="272"/>
      <c r="E27" s="271">
        <f>22202+1000</f>
        <v>23202</v>
      </c>
      <c r="F27" s="34"/>
      <c r="G27" s="50">
        <v>24045</v>
      </c>
      <c r="H27" s="34"/>
    </row>
    <row r="28" spans="1:8" s="4" customFormat="1" ht="15" customHeight="1">
      <c r="A28" s="89"/>
      <c r="B28" s="2" t="s">
        <v>32</v>
      </c>
      <c r="C28" s="50">
        <v>12127</v>
      </c>
      <c r="D28" s="34"/>
      <c r="E28" s="50">
        <v>12604</v>
      </c>
      <c r="F28" s="34"/>
      <c r="G28" s="50">
        <v>12667</v>
      </c>
      <c r="H28" s="34"/>
    </row>
    <row r="29" spans="1:8" s="4" customFormat="1" ht="15" customHeight="1">
      <c r="A29" s="89"/>
      <c r="B29" s="2" t="s">
        <v>33</v>
      </c>
      <c r="C29" s="50">
        <v>5591</v>
      </c>
      <c r="D29" s="34"/>
      <c r="E29" s="50">
        <v>5941</v>
      </c>
      <c r="F29" s="34"/>
      <c r="G29" s="50">
        <v>6192</v>
      </c>
      <c r="H29" s="34"/>
    </row>
    <row r="30" spans="1:8" s="4" customFormat="1" ht="5.25" customHeight="1">
      <c r="A30" s="22"/>
      <c r="B30" s="94"/>
      <c r="C30" s="95"/>
      <c r="D30" s="34"/>
      <c r="E30" s="95"/>
      <c r="F30" s="34"/>
      <c r="G30" s="95"/>
      <c r="H30" s="34"/>
    </row>
    <row r="31" spans="1:8" s="4" customFormat="1" ht="4.5" customHeight="1">
      <c r="A31" s="96"/>
      <c r="B31" s="97"/>
      <c r="C31" s="33"/>
      <c r="D31" s="31"/>
      <c r="E31" s="33"/>
      <c r="F31" s="31"/>
      <c r="G31" s="33"/>
      <c r="H31" s="31"/>
    </row>
    <row r="32" spans="1:8" s="4" customFormat="1" ht="12.75">
      <c r="A32" s="89"/>
      <c r="B32" s="98" t="s">
        <v>34</v>
      </c>
      <c r="C32" s="95">
        <f>C5+C8+C9+C13+C14+C16+C19+C20+C21+C24+C26+C27+C28+C29</f>
        <v>296417</v>
      </c>
      <c r="D32" s="34"/>
      <c r="E32" s="95">
        <f>E5+E8+E9+E13+E14+E16+E19+E20+E21+E24+E26+E27+E28+E29</f>
        <v>291516</v>
      </c>
      <c r="F32" s="34"/>
      <c r="G32" s="95">
        <f>G5+G8+G9+G13+G14+G16+G19+G20+G21+G24+G26+G27+G28+G29</f>
        <v>293624</v>
      </c>
      <c r="H32" s="34"/>
    </row>
    <row r="33" spans="1:8" s="4" customFormat="1" ht="6" customHeight="1">
      <c r="A33" s="22"/>
      <c r="B33" s="23"/>
      <c r="C33" s="6"/>
      <c r="D33" s="94"/>
      <c r="E33" s="6"/>
      <c r="F33" s="94"/>
      <c r="G33" s="6"/>
      <c r="H33" s="94"/>
    </row>
    <row r="34" s="4" customFormat="1" ht="9" customHeight="1"/>
    <row r="35" spans="1:9" s="4" customFormat="1" ht="15.75">
      <c r="A35" s="82"/>
      <c r="B35" s="82" t="s">
        <v>45</v>
      </c>
      <c r="C35" s="281"/>
      <c r="D35" s="281"/>
      <c r="E35" s="281"/>
      <c r="F35" s="281"/>
      <c r="G35" s="281"/>
      <c r="H35" s="281"/>
      <c r="I35" s="281"/>
    </row>
  </sheetData>
  <mergeCells count="4">
    <mergeCell ref="C4:D4"/>
    <mergeCell ref="E4:F4"/>
    <mergeCell ref="G4:H4"/>
    <mergeCell ref="C35:I35"/>
  </mergeCells>
  <printOptions/>
  <pageMargins left="0.47" right="0.11" top="0.56" bottom="0.48" header="0.25" footer="0.23"/>
  <pageSetup horizontalDpi="1200" verticalDpi="12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0">
      <selection activeCell="B37" sqref="B37"/>
    </sheetView>
  </sheetViews>
  <sheetFormatPr defaultColWidth="9.140625" defaultRowHeight="12.75"/>
  <cols>
    <col min="1" max="1" width="1.7109375" style="83" customWidth="1"/>
    <col min="2" max="2" width="55.28125" style="83" customWidth="1"/>
    <col min="3" max="3" width="15.7109375" style="83" customWidth="1"/>
    <col min="4" max="4" width="7.7109375" style="83" customWidth="1"/>
    <col min="5" max="5" width="15.7109375" style="83" customWidth="1"/>
    <col min="6" max="6" width="7.7109375" style="83" customWidth="1"/>
    <col min="7" max="7" width="15.7109375" style="83" customWidth="1"/>
    <col min="8" max="8" width="7.7109375" style="83" customWidth="1"/>
    <col min="9" max="16384" width="9.140625" style="83" customWidth="1"/>
  </cols>
  <sheetData>
    <row r="1" spans="1:2" s="4" customFormat="1" ht="15.75">
      <c r="A1" s="1" t="s">
        <v>46</v>
      </c>
      <c r="B1" s="7"/>
    </row>
    <row r="2" spans="1:2" s="4" customFormat="1" ht="5.25" customHeight="1">
      <c r="A2" s="1"/>
      <c r="B2" s="7"/>
    </row>
    <row r="3" spans="1:2" s="4" customFormat="1" ht="13.5" customHeight="1">
      <c r="A3" s="5" t="s">
        <v>6</v>
      </c>
      <c r="B3" s="86"/>
    </row>
    <row r="4" spans="1:8" s="95" customFormat="1" ht="24" customHeight="1">
      <c r="A4" s="99"/>
      <c r="B4" s="100" t="s">
        <v>5</v>
      </c>
      <c r="C4" s="283" t="s">
        <v>38</v>
      </c>
      <c r="D4" s="284"/>
      <c r="E4" s="283" t="s">
        <v>2</v>
      </c>
      <c r="F4" s="284"/>
      <c r="G4" s="283" t="s">
        <v>39</v>
      </c>
      <c r="H4" s="284"/>
    </row>
    <row r="5" spans="1:8" s="95" customFormat="1" ht="19.5" customHeight="1">
      <c r="A5" s="29"/>
      <c r="B5" s="101" t="s">
        <v>47</v>
      </c>
      <c r="C5" s="72">
        <v>19080</v>
      </c>
      <c r="D5" s="102"/>
      <c r="E5" s="72">
        <v>18244</v>
      </c>
      <c r="F5" s="102"/>
      <c r="G5" s="72">
        <v>18052</v>
      </c>
      <c r="H5" s="102"/>
    </row>
    <row r="6" spans="1:8" s="104" customFormat="1" ht="15.75" customHeight="1">
      <c r="A6" s="41"/>
      <c r="B6" s="103" t="s">
        <v>12</v>
      </c>
      <c r="C6" s="41">
        <v>12035</v>
      </c>
      <c r="D6" s="42"/>
      <c r="E6" s="41">
        <v>11246</v>
      </c>
      <c r="F6" s="42"/>
      <c r="G6" s="41">
        <v>11369</v>
      </c>
      <c r="H6" s="42"/>
    </row>
    <row r="7" spans="1:8" s="104" customFormat="1" ht="15.75" customHeight="1">
      <c r="A7" s="41"/>
      <c r="B7" s="105" t="s">
        <v>13</v>
      </c>
      <c r="C7" s="41">
        <v>7045</v>
      </c>
      <c r="D7" s="42"/>
      <c r="E7" s="41">
        <v>6998</v>
      </c>
      <c r="F7" s="42"/>
      <c r="G7" s="41">
        <v>6683</v>
      </c>
      <c r="H7" s="42"/>
    </row>
    <row r="8" spans="1:8" s="95" customFormat="1" ht="15.75" customHeight="1">
      <c r="A8" s="50"/>
      <c r="B8" s="32" t="s">
        <v>14</v>
      </c>
      <c r="C8" s="50">
        <v>115</v>
      </c>
      <c r="D8" s="106"/>
      <c r="E8" s="50">
        <v>88</v>
      </c>
      <c r="F8" s="106"/>
      <c r="G8" s="50">
        <v>90</v>
      </c>
      <c r="H8" s="106"/>
    </row>
    <row r="9" spans="1:8" s="95" customFormat="1" ht="15.75" customHeight="1">
      <c r="A9" s="50"/>
      <c r="B9" s="32" t="s">
        <v>15</v>
      </c>
      <c r="C9" s="50">
        <v>46484</v>
      </c>
      <c r="D9" s="106"/>
      <c r="E9" s="50">
        <v>44427</v>
      </c>
      <c r="F9" s="106"/>
      <c r="G9" s="50">
        <v>43626</v>
      </c>
      <c r="H9" s="106"/>
    </row>
    <row r="10" spans="1:8" s="104" customFormat="1" ht="15.75" customHeight="1">
      <c r="A10" s="107"/>
      <c r="B10" s="58" t="s">
        <v>16</v>
      </c>
      <c r="C10" s="41">
        <v>2260</v>
      </c>
      <c r="D10" s="42"/>
      <c r="E10" s="41">
        <v>2213</v>
      </c>
      <c r="F10" s="42"/>
      <c r="G10" s="41">
        <v>1990</v>
      </c>
      <c r="H10" s="42"/>
    </row>
    <row r="11" spans="1:8" s="104" customFormat="1" ht="15.75" customHeight="1">
      <c r="A11" s="107"/>
      <c r="B11" s="58" t="s">
        <v>17</v>
      </c>
      <c r="C11" s="41">
        <v>26098</v>
      </c>
      <c r="D11" s="42"/>
      <c r="E11" s="41">
        <v>23901</v>
      </c>
      <c r="F11" s="42"/>
      <c r="G11" s="41">
        <v>23625</v>
      </c>
      <c r="H11" s="42"/>
    </row>
    <row r="12" spans="1:8" s="104" customFormat="1" ht="15.75" customHeight="1">
      <c r="A12" s="107"/>
      <c r="B12" s="58" t="s">
        <v>13</v>
      </c>
      <c r="C12" s="39">
        <v>18126</v>
      </c>
      <c r="D12" s="42"/>
      <c r="E12" s="39">
        <v>18313</v>
      </c>
      <c r="F12" s="42"/>
      <c r="G12" s="39">
        <v>18011</v>
      </c>
      <c r="H12" s="42"/>
    </row>
    <row r="13" spans="1:8" s="95" customFormat="1" ht="15.75" customHeight="1">
      <c r="A13" s="50"/>
      <c r="B13" s="32" t="s">
        <v>18</v>
      </c>
      <c r="C13" s="50">
        <v>2780</v>
      </c>
      <c r="D13" s="106"/>
      <c r="E13" s="50">
        <v>2830</v>
      </c>
      <c r="F13" s="106"/>
      <c r="G13" s="50">
        <v>2824</v>
      </c>
      <c r="H13" s="106"/>
    </row>
    <row r="14" spans="1:8" s="95" customFormat="1" ht="15.75" customHeight="1">
      <c r="A14" s="50"/>
      <c r="B14" s="32" t="s">
        <v>19</v>
      </c>
      <c r="C14" s="50">
        <v>14780</v>
      </c>
      <c r="D14" s="106"/>
      <c r="E14" s="50">
        <v>11943</v>
      </c>
      <c r="F14" s="106"/>
      <c r="G14" s="50">
        <v>12360</v>
      </c>
      <c r="H14" s="106"/>
    </row>
    <row r="15" spans="1:8" s="95" customFormat="1" ht="15.75" customHeight="1">
      <c r="A15" s="108"/>
      <c r="B15" s="32" t="s">
        <v>20</v>
      </c>
      <c r="C15" s="50"/>
      <c r="D15" s="34"/>
      <c r="E15" s="50"/>
      <c r="F15" s="34"/>
      <c r="G15" s="50"/>
      <c r="H15" s="34"/>
    </row>
    <row r="16" spans="1:8" s="95" customFormat="1" ht="12.75" customHeight="1">
      <c r="A16" s="108"/>
      <c r="B16" s="32" t="s">
        <v>40</v>
      </c>
      <c r="C16" s="50">
        <v>12710</v>
      </c>
      <c r="D16" s="34"/>
      <c r="E16" s="50">
        <v>12414</v>
      </c>
      <c r="F16" s="34"/>
      <c r="G16" s="50">
        <v>12395</v>
      </c>
      <c r="H16" s="34"/>
    </row>
    <row r="17" spans="1:8" s="104" customFormat="1" ht="15.75" customHeight="1">
      <c r="A17" s="107"/>
      <c r="B17" s="58" t="s">
        <v>41</v>
      </c>
      <c r="C17" s="41">
        <v>11051</v>
      </c>
      <c r="D17" s="42"/>
      <c r="E17" s="41">
        <v>10778</v>
      </c>
      <c r="F17" s="42"/>
      <c r="G17" s="41">
        <v>10749</v>
      </c>
      <c r="H17" s="42"/>
    </row>
    <row r="18" spans="1:8" s="104" customFormat="1" ht="15.75" customHeight="1">
      <c r="A18" s="107"/>
      <c r="B18" s="58" t="s">
        <v>42</v>
      </c>
      <c r="C18" s="41">
        <v>1659</v>
      </c>
      <c r="D18" s="42"/>
      <c r="E18" s="41">
        <v>1636</v>
      </c>
      <c r="F18" s="42"/>
      <c r="G18" s="41">
        <v>1646</v>
      </c>
      <c r="H18" s="42"/>
    </row>
    <row r="19" spans="1:8" s="95" customFormat="1" ht="15.75" customHeight="1">
      <c r="A19" s="108"/>
      <c r="B19" s="32" t="s">
        <v>24</v>
      </c>
      <c r="C19" s="50">
        <v>14505</v>
      </c>
      <c r="D19" s="34"/>
      <c r="E19" s="50">
        <v>16258</v>
      </c>
      <c r="F19" s="34"/>
      <c r="G19" s="50">
        <v>16298</v>
      </c>
      <c r="H19" s="34"/>
    </row>
    <row r="20" spans="1:8" s="95" customFormat="1" ht="15.75" customHeight="1">
      <c r="A20" s="108"/>
      <c r="B20" s="32" t="s">
        <v>25</v>
      </c>
      <c r="C20" s="50">
        <v>14609</v>
      </c>
      <c r="D20" s="106"/>
      <c r="E20" s="50">
        <v>14793</v>
      </c>
      <c r="F20" s="106"/>
      <c r="G20" s="50">
        <v>14927</v>
      </c>
      <c r="H20" s="106"/>
    </row>
    <row r="21" spans="1:8" s="95" customFormat="1" ht="15.75" customHeight="1">
      <c r="A21" s="108"/>
      <c r="B21" s="32" t="s">
        <v>26</v>
      </c>
      <c r="C21" s="50">
        <v>4302</v>
      </c>
      <c r="D21" s="34"/>
      <c r="E21" s="50">
        <v>4648</v>
      </c>
      <c r="F21" s="34"/>
      <c r="G21" s="50">
        <f>SUM(G22:G23)</f>
        <v>4910</v>
      </c>
      <c r="H21" s="34"/>
    </row>
    <row r="22" spans="1:8" s="104" customFormat="1" ht="15.75" customHeight="1">
      <c r="A22" s="107"/>
      <c r="B22" s="58" t="s">
        <v>43</v>
      </c>
      <c r="C22" s="109">
        <v>1224</v>
      </c>
      <c r="D22" s="42"/>
      <c r="E22" s="109">
        <v>1280</v>
      </c>
      <c r="F22" s="42"/>
      <c r="G22" s="109">
        <v>1240</v>
      </c>
      <c r="H22" s="42"/>
    </row>
    <row r="23" spans="1:8" s="104" customFormat="1" ht="15.75" customHeight="1">
      <c r="A23" s="41"/>
      <c r="B23" s="105" t="s">
        <v>44</v>
      </c>
      <c r="C23" s="41">
        <v>3078</v>
      </c>
      <c r="D23" s="42"/>
      <c r="E23" s="41">
        <v>3368</v>
      </c>
      <c r="F23" s="42"/>
      <c r="G23" s="41">
        <f>3763-93</f>
        <v>3670</v>
      </c>
      <c r="H23" s="42"/>
    </row>
    <row r="24" spans="1:8" s="95" customFormat="1" ht="15.75" customHeight="1">
      <c r="A24" s="50"/>
      <c r="B24" s="110" t="s">
        <v>28</v>
      </c>
      <c r="C24" s="50">
        <v>8184</v>
      </c>
      <c r="D24" s="106"/>
      <c r="E24" s="50">
        <v>9290</v>
      </c>
      <c r="F24" s="106"/>
      <c r="G24" s="50">
        <v>9696</v>
      </c>
      <c r="H24" s="106"/>
    </row>
    <row r="25" spans="1:8" s="95" customFormat="1" ht="13.5" customHeight="1">
      <c r="A25" s="50"/>
      <c r="B25" s="32" t="s">
        <v>29</v>
      </c>
      <c r="C25" s="111"/>
      <c r="D25" s="34"/>
      <c r="E25" s="111"/>
      <c r="F25" s="34"/>
      <c r="G25" s="111"/>
      <c r="H25" s="34"/>
    </row>
    <row r="26" spans="1:8" s="95" customFormat="1" ht="12" customHeight="1">
      <c r="A26" s="50"/>
      <c r="B26" s="32" t="s">
        <v>30</v>
      </c>
      <c r="C26" s="50">
        <v>30371</v>
      </c>
      <c r="D26" s="106"/>
      <c r="E26" s="50">
        <v>30823</v>
      </c>
      <c r="F26" s="106"/>
      <c r="G26" s="50">
        <v>31147</v>
      </c>
      <c r="H26" s="106"/>
    </row>
    <row r="27" spans="1:8" s="95" customFormat="1" ht="15.75" customHeight="1">
      <c r="A27" s="108"/>
      <c r="B27" s="32" t="s">
        <v>31</v>
      </c>
      <c r="C27" s="50">
        <f>10836+300</f>
        <v>11136</v>
      </c>
      <c r="D27" s="34"/>
      <c r="E27" s="50">
        <f>10997+300</f>
        <v>11297</v>
      </c>
      <c r="F27" s="34"/>
      <c r="G27" s="50">
        <v>11432</v>
      </c>
      <c r="H27" s="34"/>
    </row>
    <row r="28" spans="1:8" s="95" customFormat="1" ht="15" customHeight="1">
      <c r="A28" s="50"/>
      <c r="B28" s="32" t="s">
        <v>32</v>
      </c>
      <c r="C28" s="50">
        <v>6262</v>
      </c>
      <c r="D28" s="106"/>
      <c r="E28" s="50">
        <v>6456</v>
      </c>
      <c r="F28" s="106"/>
      <c r="G28" s="50">
        <v>6491</v>
      </c>
      <c r="H28" s="106"/>
    </row>
    <row r="29" spans="1:8" s="95" customFormat="1" ht="15" customHeight="1">
      <c r="A29" s="50"/>
      <c r="B29" s="32" t="s">
        <v>33</v>
      </c>
      <c r="C29" s="112">
        <v>4359</v>
      </c>
      <c r="D29" s="106"/>
      <c r="E29" s="112">
        <v>4557</v>
      </c>
      <c r="F29" s="106"/>
      <c r="G29" s="112">
        <v>4627</v>
      </c>
      <c r="H29" s="106"/>
    </row>
    <row r="30" spans="1:8" s="95" customFormat="1" ht="6" customHeight="1">
      <c r="A30" s="67"/>
      <c r="B30" s="68"/>
      <c r="D30" s="34"/>
      <c r="F30" s="34"/>
      <c r="H30" s="34"/>
    </row>
    <row r="31" spans="1:8" s="95" customFormat="1" ht="4.5" customHeight="1">
      <c r="A31" s="113"/>
      <c r="B31" s="31"/>
      <c r="C31" s="33"/>
      <c r="D31" s="31"/>
      <c r="E31" s="33"/>
      <c r="F31" s="31"/>
      <c r="G31" s="33"/>
      <c r="H31" s="31"/>
    </row>
    <row r="32" spans="1:8" s="95" customFormat="1" ht="12.75">
      <c r="A32" s="50"/>
      <c r="B32" s="114" t="s">
        <v>34</v>
      </c>
      <c r="C32" s="95">
        <f>C5+C8+C9+C13+C14+C16+C19+C20+C21+C24+C26+C27+C28+C29</f>
        <v>189677</v>
      </c>
      <c r="D32" s="34"/>
      <c r="E32" s="95">
        <f>E5+E8+E9+E13+E14+E16+E19+E20+E21+E24+E26+E27+E28+E29</f>
        <v>188068</v>
      </c>
      <c r="F32" s="34"/>
      <c r="G32" s="95">
        <f>G5+G8+G9+G13+G14+G16+G19+G20+G21+G24+G26+G27+G28+G29</f>
        <v>188875</v>
      </c>
      <c r="H32" s="34"/>
    </row>
    <row r="33" spans="1:8" s="95" customFormat="1" ht="4.5" customHeight="1">
      <c r="A33" s="67"/>
      <c r="B33" s="115"/>
      <c r="C33" s="69"/>
      <c r="D33" s="68"/>
      <c r="E33" s="69"/>
      <c r="F33" s="68"/>
      <c r="G33" s="69"/>
      <c r="H33" s="68"/>
    </row>
    <row r="34" s="4" customFormat="1" ht="6" customHeight="1"/>
    <row r="35" spans="1:2" s="4" customFormat="1" ht="15.75">
      <c r="A35" s="116" t="s">
        <v>48</v>
      </c>
      <c r="B35" s="4" t="s">
        <v>98</v>
      </c>
    </row>
    <row r="36" s="4" customFormat="1" ht="13.5">
      <c r="A36" s="116"/>
    </row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</sheetData>
  <mergeCells count="3">
    <mergeCell ref="C4:D4"/>
    <mergeCell ref="E4:F4"/>
    <mergeCell ref="G4:H4"/>
  </mergeCells>
  <printOptions/>
  <pageMargins left="0.25" right="0.14" top="0.81" bottom="0.38" header="0.5" footer="0.27"/>
  <pageSetup horizontalDpi="1200" verticalDpi="12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5"/>
  <sheetViews>
    <sheetView workbookViewId="0" topLeftCell="A1">
      <selection activeCell="B23" sqref="B23"/>
    </sheetView>
  </sheetViews>
  <sheetFormatPr defaultColWidth="9.140625" defaultRowHeight="12.75"/>
  <cols>
    <col min="1" max="1" width="2.57421875" style="83" customWidth="1"/>
    <col min="2" max="2" width="54.8515625" style="83" customWidth="1"/>
    <col min="3" max="3" width="15.7109375" style="83" customWidth="1"/>
    <col min="4" max="4" width="7.7109375" style="83" customWidth="1"/>
    <col min="5" max="5" width="15.7109375" style="83" customWidth="1"/>
    <col min="6" max="6" width="7.7109375" style="83" customWidth="1"/>
    <col min="7" max="7" width="15.7109375" style="83" customWidth="1"/>
    <col min="8" max="8" width="7.7109375" style="83" customWidth="1"/>
    <col min="9" max="9" width="6.57421875" style="83" customWidth="1"/>
    <col min="10" max="10" width="10.7109375" style="83" customWidth="1"/>
    <col min="11" max="12" width="9.140625" style="83" customWidth="1"/>
    <col min="13" max="13" width="10.7109375" style="83" customWidth="1"/>
    <col min="14" max="14" width="9.140625" style="83" customWidth="1"/>
    <col min="15" max="15" width="35.7109375" style="83" customWidth="1"/>
    <col min="16" max="16384" width="9.140625" style="83" customWidth="1"/>
  </cols>
  <sheetData>
    <row r="1" spans="1:20" s="4" customFormat="1" ht="15.75">
      <c r="A1" s="1" t="s">
        <v>46</v>
      </c>
      <c r="B1" s="7"/>
      <c r="T1" s="2"/>
    </row>
    <row r="2" spans="1:20" s="4" customFormat="1" ht="5.25" customHeight="1">
      <c r="A2" s="1"/>
      <c r="B2" s="7"/>
      <c r="T2" s="2"/>
    </row>
    <row r="3" spans="1:2" s="4" customFormat="1" ht="15.75">
      <c r="A3" s="5" t="s">
        <v>7</v>
      </c>
      <c r="B3" s="86"/>
    </row>
    <row r="4" spans="1:24" s="4" customFormat="1" ht="24" customHeight="1">
      <c r="A4" s="87"/>
      <c r="B4" s="18" t="s">
        <v>5</v>
      </c>
      <c r="C4" s="283" t="s">
        <v>50</v>
      </c>
      <c r="D4" s="284"/>
      <c r="E4" s="283" t="s">
        <v>2</v>
      </c>
      <c r="F4" s="284"/>
      <c r="G4" s="283" t="s">
        <v>39</v>
      </c>
      <c r="H4" s="284"/>
      <c r="I4" s="117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</row>
    <row r="5" spans="1:24" s="95" customFormat="1" ht="20.25" customHeight="1">
      <c r="A5" s="29"/>
      <c r="B5" s="101" t="s">
        <v>51</v>
      </c>
      <c r="C5" s="72">
        <v>4031</v>
      </c>
      <c r="D5" s="30"/>
      <c r="E5" s="72">
        <v>3800</v>
      </c>
      <c r="F5" s="30"/>
      <c r="G5" s="72">
        <v>3584</v>
      </c>
      <c r="H5" s="30"/>
      <c r="I5" s="51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9" s="104" customFormat="1" ht="15.75" customHeight="1">
      <c r="A6" s="41"/>
      <c r="B6" s="103" t="s">
        <v>12</v>
      </c>
      <c r="C6" s="41">
        <v>2787</v>
      </c>
      <c r="D6" s="42"/>
      <c r="E6" s="41">
        <v>2557</v>
      </c>
      <c r="F6" s="42"/>
      <c r="G6" s="41">
        <v>2428</v>
      </c>
      <c r="H6" s="42"/>
      <c r="I6" s="58"/>
    </row>
    <row r="7" spans="1:24" s="104" customFormat="1" ht="15.75" customHeight="1">
      <c r="A7" s="41"/>
      <c r="B7" s="105" t="s">
        <v>13</v>
      </c>
      <c r="C7" s="41">
        <v>1244</v>
      </c>
      <c r="D7" s="42"/>
      <c r="E7" s="41">
        <v>1243</v>
      </c>
      <c r="F7" s="42"/>
      <c r="G7" s="41">
        <v>1156</v>
      </c>
      <c r="H7" s="42"/>
      <c r="I7" s="58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</row>
    <row r="8" spans="1:9" s="95" customFormat="1" ht="15.75" customHeight="1">
      <c r="A8" s="50"/>
      <c r="B8" s="32" t="s">
        <v>14</v>
      </c>
      <c r="C8" s="50">
        <v>102</v>
      </c>
      <c r="D8" s="34"/>
      <c r="E8" s="50">
        <v>94</v>
      </c>
      <c r="F8" s="34"/>
      <c r="G8" s="50">
        <v>90</v>
      </c>
      <c r="H8" s="34"/>
      <c r="I8" s="32"/>
    </row>
    <row r="9" spans="1:24" s="95" customFormat="1" ht="15.75" customHeight="1">
      <c r="A9" s="50"/>
      <c r="B9" s="32" t="s">
        <v>15</v>
      </c>
      <c r="C9" s="50">
        <v>55231</v>
      </c>
      <c r="D9" s="34"/>
      <c r="E9" s="50">
        <v>48193</v>
      </c>
      <c r="F9" s="34"/>
      <c r="G9" s="50">
        <v>47395</v>
      </c>
      <c r="H9" s="34"/>
      <c r="I9" s="32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</row>
    <row r="10" spans="1:9" s="104" customFormat="1" ht="15.75" customHeight="1">
      <c r="A10" s="107"/>
      <c r="B10" s="58" t="s">
        <v>16</v>
      </c>
      <c r="C10" s="41">
        <v>22</v>
      </c>
      <c r="D10" s="42"/>
      <c r="E10" s="41">
        <v>21</v>
      </c>
      <c r="F10" s="42"/>
      <c r="G10" s="41">
        <v>18</v>
      </c>
      <c r="H10" s="42"/>
      <c r="I10" s="58"/>
    </row>
    <row r="11" spans="1:9" s="104" customFormat="1" ht="15.75" customHeight="1">
      <c r="A11" s="107"/>
      <c r="B11" s="58" t="s">
        <v>17</v>
      </c>
      <c r="C11" s="41">
        <v>48625</v>
      </c>
      <c r="D11" s="42"/>
      <c r="E11" s="41">
        <v>41258</v>
      </c>
      <c r="F11" s="42"/>
      <c r="G11" s="41">
        <v>40737</v>
      </c>
      <c r="H11" s="42"/>
      <c r="I11" s="58"/>
    </row>
    <row r="12" spans="1:24" s="104" customFormat="1" ht="15.75" customHeight="1">
      <c r="A12" s="107"/>
      <c r="B12" s="58" t="s">
        <v>13</v>
      </c>
      <c r="C12" s="39">
        <v>6584</v>
      </c>
      <c r="D12" s="42"/>
      <c r="E12" s="39">
        <v>6914</v>
      </c>
      <c r="F12" s="42"/>
      <c r="G12" s="39">
        <v>6640</v>
      </c>
      <c r="H12" s="42"/>
      <c r="I12" s="58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</row>
    <row r="13" spans="1:9" s="95" customFormat="1" ht="15.75" customHeight="1">
      <c r="A13" s="50"/>
      <c r="B13" s="32" t="s">
        <v>18</v>
      </c>
      <c r="C13" s="50">
        <v>152</v>
      </c>
      <c r="D13" s="34"/>
      <c r="E13" s="50">
        <v>150</v>
      </c>
      <c r="F13" s="34"/>
      <c r="G13" s="50">
        <v>164</v>
      </c>
      <c r="H13" s="34"/>
      <c r="I13" s="32"/>
    </row>
    <row r="14" spans="1:9" s="95" customFormat="1" ht="15.75" customHeight="1">
      <c r="A14" s="50"/>
      <c r="B14" s="32" t="s">
        <v>19</v>
      </c>
      <c r="C14" s="50">
        <v>553</v>
      </c>
      <c r="D14" s="34"/>
      <c r="E14" s="50">
        <v>581</v>
      </c>
      <c r="F14" s="34"/>
      <c r="G14" s="50">
        <v>583</v>
      </c>
      <c r="H14" s="34"/>
      <c r="I14" s="32"/>
    </row>
    <row r="15" spans="1:9" s="95" customFormat="1" ht="15.75" customHeight="1">
      <c r="A15" s="108"/>
      <c r="B15" s="32" t="s">
        <v>20</v>
      </c>
      <c r="C15" s="50"/>
      <c r="D15" s="34"/>
      <c r="E15" s="50"/>
      <c r="F15" s="34"/>
      <c r="G15" s="50"/>
      <c r="H15" s="34"/>
      <c r="I15" s="32"/>
    </row>
    <row r="16" spans="1:24" s="95" customFormat="1" ht="12.75" customHeight="1">
      <c r="A16" s="108"/>
      <c r="B16" s="32" t="s">
        <v>40</v>
      </c>
      <c r="C16" s="50">
        <v>5447</v>
      </c>
      <c r="D16" s="34"/>
      <c r="E16" s="50">
        <v>5677</v>
      </c>
      <c r="F16" s="34"/>
      <c r="G16" s="50">
        <v>5718</v>
      </c>
      <c r="H16" s="34"/>
      <c r="I16" s="32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</row>
    <row r="17" spans="1:9" s="104" customFormat="1" ht="15.75" customHeight="1">
      <c r="A17" s="107"/>
      <c r="B17" s="58" t="s">
        <v>41</v>
      </c>
      <c r="C17" s="41">
        <v>5136</v>
      </c>
      <c r="D17" s="42"/>
      <c r="E17" s="41">
        <v>5348</v>
      </c>
      <c r="F17" s="42"/>
      <c r="G17" s="41">
        <v>5386</v>
      </c>
      <c r="H17" s="42"/>
      <c r="I17" s="58"/>
    </row>
    <row r="18" spans="1:24" s="104" customFormat="1" ht="15.75" customHeight="1">
      <c r="A18" s="107"/>
      <c r="B18" s="58" t="s">
        <v>42</v>
      </c>
      <c r="C18" s="41">
        <v>311</v>
      </c>
      <c r="D18" s="42"/>
      <c r="E18" s="41">
        <v>329</v>
      </c>
      <c r="F18" s="42"/>
      <c r="G18" s="41">
        <v>332</v>
      </c>
      <c r="H18" s="42"/>
      <c r="I18" s="58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</row>
    <row r="19" spans="1:9" s="95" customFormat="1" ht="15.75" customHeight="1">
      <c r="A19" s="108"/>
      <c r="B19" s="32" t="s">
        <v>24</v>
      </c>
      <c r="C19" s="50">
        <v>3971</v>
      </c>
      <c r="D19" s="34"/>
      <c r="E19" s="50">
        <v>4777</v>
      </c>
      <c r="F19" s="34"/>
      <c r="G19" s="50">
        <v>5043</v>
      </c>
      <c r="H19" s="34"/>
      <c r="I19" s="32"/>
    </row>
    <row r="20" spans="1:9" s="95" customFormat="1" ht="15.75" customHeight="1">
      <c r="A20" s="108"/>
      <c r="B20" s="32" t="s">
        <v>25</v>
      </c>
      <c r="C20" s="50">
        <v>3192</v>
      </c>
      <c r="D20" s="34"/>
      <c r="E20" s="50">
        <v>3257</v>
      </c>
      <c r="F20" s="34"/>
      <c r="G20" s="50">
        <v>3406</v>
      </c>
      <c r="H20" s="34"/>
      <c r="I20" s="32"/>
    </row>
    <row r="21" spans="1:24" s="95" customFormat="1" ht="15.75" customHeight="1">
      <c r="A21" s="108"/>
      <c r="B21" s="32" t="s">
        <v>26</v>
      </c>
      <c r="C21" s="50">
        <v>3192</v>
      </c>
      <c r="D21" s="34"/>
      <c r="E21" s="50">
        <v>3753</v>
      </c>
      <c r="F21" s="34"/>
      <c r="G21" s="50">
        <f>SUM(G22:G23)</f>
        <v>4099</v>
      </c>
      <c r="H21" s="34"/>
      <c r="I21" s="32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9" s="104" customFormat="1" ht="15.75" customHeight="1">
      <c r="A22" s="107"/>
      <c r="B22" s="58" t="s">
        <v>43</v>
      </c>
      <c r="C22" s="109">
        <v>1010</v>
      </c>
      <c r="D22" s="42"/>
      <c r="E22" s="109">
        <v>1161</v>
      </c>
      <c r="F22" s="42"/>
      <c r="G22" s="109">
        <v>1104</v>
      </c>
      <c r="H22" s="42"/>
      <c r="I22" s="58"/>
    </row>
    <row r="23" spans="1:24" s="104" customFormat="1" ht="15.75" customHeight="1">
      <c r="A23" s="41"/>
      <c r="B23" s="105" t="s">
        <v>44</v>
      </c>
      <c r="C23" s="41">
        <v>2182</v>
      </c>
      <c r="D23" s="42"/>
      <c r="E23" s="41">
        <v>2592</v>
      </c>
      <c r="F23" s="42"/>
      <c r="G23" s="41">
        <f>3090-95</f>
        <v>2995</v>
      </c>
      <c r="H23" s="42"/>
      <c r="I23" s="58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</row>
    <row r="24" spans="1:9" s="95" customFormat="1" ht="15.75" customHeight="1">
      <c r="A24" s="50"/>
      <c r="B24" s="110" t="s">
        <v>28</v>
      </c>
      <c r="C24" s="50">
        <v>4210</v>
      </c>
      <c r="D24" s="34"/>
      <c r="E24" s="50">
        <v>5005</v>
      </c>
      <c r="F24" s="34"/>
      <c r="G24" s="50">
        <v>5145</v>
      </c>
      <c r="H24" s="34"/>
      <c r="I24" s="32"/>
    </row>
    <row r="25" spans="1:9" s="95" customFormat="1" ht="12.75" customHeight="1">
      <c r="A25" s="50"/>
      <c r="B25" s="32" t="s">
        <v>29</v>
      </c>
      <c r="C25" s="111"/>
      <c r="D25" s="34"/>
      <c r="E25" s="111"/>
      <c r="F25" s="34"/>
      <c r="G25" s="111"/>
      <c r="H25" s="34"/>
      <c r="I25" s="32"/>
    </row>
    <row r="26" spans="1:9" s="95" customFormat="1" ht="11.25" customHeight="1">
      <c r="A26" s="50"/>
      <c r="B26" s="32" t="s">
        <v>30</v>
      </c>
      <c r="C26" s="50">
        <v>8367</v>
      </c>
      <c r="D26" s="34"/>
      <c r="E26" s="50">
        <v>8724</v>
      </c>
      <c r="F26" s="34"/>
      <c r="G26" s="50">
        <v>9168</v>
      </c>
      <c r="H26" s="34"/>
      <c r="I26" s="32"/>
    </row>
    <row r="27" spans="1:9" s="95" customFormat="1" ht="15.75" customHeight="1">
      <c r="A27" s="108"/>
      <c r="B27" s="32" t="s">
        <v>31</v>
      </c>
      <c r="C27" s="50">
        <f>10495+700</f>
        <v>11195</v>
      </c>
      <c r="D27" s="34"/>
      <c r="E27" s="50">
        <f>11205+700</f>
        <v>11905</v>
      </c>
      <c r="F27" s="34"/>
      <c r="G27" s="50">
        <v>12613</v>
      </c>
      <c r="H27" s="34"/>
      <c r="I27" s="32"/>
    </row>
    <row r="28" spans="1:9" s="95" customFormat="1" ht="15" customHeight="1">
      <c r="A28" s="50"/>
      <c r="B28" s="32" t="s">
        <v>32</v>
      </c>
      <c r="C28" s="50">
        <v>5865</v>
      </c>
      <c r="D28" s="34"/>
      <c r="E28" s="50">
        <v>6148</v>
      </c>
      <c r="F28" s="34"/>
      <c r="G28" s="50">
        <v>6176</v>
      </c>
      <c r="H28" s="34"/>
      <c r="I28" s="32"/>
    </row>
    <row r="29" spans="1:24" s="95" customFormat="1" ht="15" customHeight="1">
      <c r="A29" s="50"/>
      <c r="B29" s="32" t="s">
        <v>33</v>
      </c>
      <c r="C29" s="112">
        <v>1232</v>
      </c>
      <c r="D29" s="34"/>
      <c r="E29" s="112">
        <v>1384</v>
      </c>
      <c r="F29" s="34"/>
      <c r="G29" s="112">
        <v>1565</v>
      </c>
      <c r="H29" s="34"/>
      <c r="I29" s="32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</row>
    <row r="30" spans="1:9" s="118" customFormat="1" ht="5.25" customHeight="1">
      <c r="A30" s="67"/>
      <c r="B30" s="68"/>
      <c r="C30" s="95"/>
      <c r="D30" s="34"/>
      <c r="E30" s="95"/>
      <c r="F30" s="34"/>
      <c r="G30" s="95"/>
      <c r="H30" s="34"/>
      <c r="I30" s="32"/>
    </row>
    <row r="31" spans="1:9" s="118" customFormat="1" ht="6" customHeight="1">
      <c r="A31" s="113"/>
      <c r="B31" s="31"/>
      <c r="C31" s="33"/>
      <c r="D31" s="31"/>
      <c r="E31" s="33"/>
      <c r="F31" s="31"/>
      <c r="G31" s="33"/>
      <c r="H31" s="31"/>
      <c r="I31" s="32"/>
    </row>
    <row r="32" spans="1:9" s="118" customFormat="1" ht="12.75">
      <c r="A32" s="50"/>
      <c r="B32" s="114" t="s">
        <v>34</v>
      </c>
      <c r="C32" s="95">
        <f>C5+C8+C9+C13+C14+C16+C19+C20+C21+C24+C26+C27+C28+C29</f>
        <v>106740</v>
      </c>
      <c r="D32" s="34"/>
      <c r="E32" s="95">
        <f>E5+E8+E9+E13+E14+E16+E19+E20+E21+E24+E26+E27+E28+E29</f>
        <v>103448</v>
      </c>
      <c r="F32" s="34"/>
      <c r="G32" s="95">
        <f>G5+G8+G9+G13+G14+G16+G19+G20+G21+G24+G26+G27+G28+G29</f>
        <v>104749</v>
      </c>
      <c r="H32" s="34"/>
      <c r="I32" s="32"/>
    </row>
    <row r="33" spans="1:24" s="118" customFormat="1" ht="4.5" customHeight="1">
      <c r="A33" s="67"/>
      <c r="B33" s="115"/>
      <c r="C33" s="69"/>
      <c r="D33" s="68"/>
      <c r="E33" s="69"/>
      <c r="F33" s="68"/>
      <c r="G33" s="69"/>
      <c r="H33" s="68"/>
      <c r="I33" s="32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</row>
    <row r="34" spans="10:12" ht="6" customHeight="1">
      <c r="J34" s="82"/>
      <c r="K34" s="82"/>
      <c r="L34" s="82"/>
    </row>
    <row r="35" spans="1:9" ht="15.75">
      <c r="A35" s="82"/>
      <c r="B35" s="82" t="s">
        <v>45</v>
      </c>
      <c r="C35" s="82"/>
      <c r="D35" s="82"/>
      <c r="E35" s="82"/>
      <c r="F35" s="82"/>
      <c r="G35" s="82"/>
      <c r="H35" s="82"/>
      <c r="I35" s="82"/>
    </row>
  </sheetData>
  <mergeCells count="3">
    <mergeCell ref="C4:D4"/>
    <mergeCell ref="E4:F4"/>
    <mergeCell ref="G4:H4"/>
  </mergeCells>
  <printOptions/>
  <pageMargins left="0.25" right="0.18" top="0.63" bottom="0.36" header="0.5" footer="0.23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Q11" sqref="Q11"/>
    </sheetView>
  </sheetViews>
  <sheetFormatPr defaultColWidth="9.140625" defaultRowHeight="12.75"/>
  <cols>
    <col min="1" max="1" width="47.00390625" style="0" customWidth="1"/>
    <col min="2" max="4" width="9.28125" style="0" hidden="1" customWidth="1"/>
    <col min="5" max="13" width="9.28125" style="0" customWidth="1"/>
    <col min="14" max="14" width="5.28125" style="0" customWidth="1"/>
    <col min="15" max="16384" width="11.421875" style="0" customWidth="1"/>
  </cols>
  <sheetData>
    <row r="1" spans="1:4" ht="18" customHeight="1">
      <c r="A1" s="119" t="s">
        <v>52</v>
      </c>
      <c r="B1" s="120"/>
      <c r="C1" s="120"/>
      <c r="D1" s="120"/>
    </row>
    <row r="2" spans="1:4" ht="7.5" customHeight="1">
      <c r="A2" s="120"/>
      <c r="B2" s="120"/>
      <c r="C2" s="120"/>
      <c r="D2" s="120"/>
    </row>
    <row r="3" spans="1:4" ht="3.75" customHeight="1">
      <c r="A3" s="119"/>
      <c r="B3" s="120"/>
      <c r="C3" s="121"/>
      <c r="D3" s="120"/>
    </row>
    <row r="4" spans="1:13" s="122" customFormat="1" ht="6" customHeight="1">
      <c r="A4" s="291" t="s">
        <v>5</v>
      </c>
      <c r="B4" s="286" t="s">
        <v>53</v>
      </c>
      <c r="C4" s="286"/>
      <c r="D4" s="286"/>
      <c r="E4" s="285" t="s">
        <v>54</v>
      </c>
      <c r="F4" s="286"/>
      <c r="G4" s="286"/>
      <c r="H4" s="285" t="s">
        <v>55</v>
      </c>
      <c r="I4" s="286"/>
      <c r="J4" s="286"/>
      <c r="K4" s="285" t="s">
        <v>56</v>
      </c>
      <c r="L4" s="286"/>
      <c r="M4" s="287"/>
    </row>
    <row r="5" spans="1:13" s="122" customFormat="1" ht="13.5" customHeight="1">
      <c r="A5" s="292"/>
      <c r="B5" s="289"/>
      <c r="C5" s="289"/>
      <c r="D5" s="289"/>
      <c r="E5" s="288"/>
      <c r="F5" s="289"/>
      <c r="G5" s="289"/>
      <c r="H5" s="288"/>
      <c r="I5" s="289"/>
      <c r="J5" s="289"/>
      <c r="K5" s="288"/>
      <c r="L5" s="289"/>
      <c r="M5" s="290"/>
    </row>
    <row r="6" spans="1:13" s="122" customFormat="1" ht="29.25" customHeight="1">
      <c r="A6" s="293"/>
      <c r="B6" s="123" t="s">
        <v>6</v>
      </c>
      <c r="C6" s="124" t="s">
        <v>7</v>
      </c>
      <c r="D6" s="125" t="s">
        <v>57</v>
      </c>
      <c r="E6" s="124" t="s">
        <v>6</v>
      </c>
      <c r="F6" s="124" t="s">
        <v>7</v>
      </c>
      <c r="G6" s="125" t="s">
        <v>57</v>
      </c>
      <c r="H6" s="124" t="s">
        <v>6</v>
      </c>
      <c r="I6" s="124" t="s">
        <v>7</v>
      </c>
      <c r="J6" s="125" t="s">
        <v>57</v>
      </c>
      <c r="K6" s="124" t="s">
        <v>6</v>
      </c>
      <c r="L6" s="124" t="s">
        <v>7</v>
      </c>
      <c r="M6" s="126" t="s">
        <v>57</v>
      </c>
    </row>
    <row r="7" spans="1:13" s="133" customFormat="1" ht="21.75" customHeight="1">
      <c r="A7" s="127" t="s">
        <v>11</v>
      </c>
      <c r="B7" s="128">
        <v>4916</v>
      </c>
      <c r="C7" s="128">
        <v>418</v>
      </c>
      <c r="D7" s="129">
        <f>SUM(B7:C7)</f>
        <v>5334</v>
      </c>
      <c r="E7" s="130">
        <v>5054</v>
      </c>
      <c r="F7" s="131">
        <v>423</v>
      </c>
      <c r="G7" s="132">
        <f>E7+F7</f>
        <v>5477</v>
      </c>
      <c r="H7" s="131">
        <v>4899</v>
      </c>
      <c r="I7" s="131">
        <v>430</v>
      </c>
      <c r="J7" s="132">
        <f>SUM(H7:I7)</f>
        <v>5329</v>
      </c>
      <c r="K7" s="131">
        <f>4263+417</f>
        <v>4680</v>
      </c>
      <c r="L7" s="131">
        <f>375+49</f>
        <v>424</v>
      </c>
      <c r="M7" s="131">
        <f>SUM(K7:L7)</f>
        <v>5104</v>
      </c>
    </row>
    <row r="8" spans="1:13" s="133" customFormat="1" ht="21.75" customHeight="1">
      <c r="A8" s="134" t="s">
        <v>14</v>
      </c>
      <c r="B8" s="135">
        <v>0</v>
      </c>
      <c r="C8" s="135">
        <v>0</v>
      </c>
      <c r="D8" s="136">
        <v>0</v>
      </c>
      <c r="E8" s="137">
        <v>0</v>
      </c>
      <c r="F8" s="135">
        <v>0</v>
      </c>
      <c r="G8" s="138">
        <f aca="true" t="shared" si="0" ref="G8:G23">E8+F8</f>
        <v>0</v>
      </c>
      <c r="H8" s="137">
        <v>0</v>
      </c>
      <c r="I8" s="135">
        <v>0</v>
      </c>
      <c r="J8" s="139">
        <f>SUM(H8:I8)</f>
        <v>0</v>
      </c>
      <c r="K8" s="140">
        <v>0</v>
      </c>
      <c r="L8" s="135">
        <v>0</v>
      </c>
      <c r="M8" s="139">
        <f>SUM(K8:L8)</f>
        <v>0</v>
      </c>
    </row>
    <row r="9" spans="1:13" s="133" customFormat="1" ht="21.75" customHeight="1">
      <c r="A9" s="134" t="s">
        <v>15</v>
      </c>
      <c r="B9" s="141">
        <v>252</v>
      </c>
      <c r="C9" s="141">
        <v>33</v>
      </c>
      <c r="D9" s="142">
        <f>SUM(B9:C9)</f>
        <v>285</v>
      </c>
      <c r="E9" s="143">
        <v>289</v>
      </c>
      <c r="F9" s="141">
        <v>40</v>
      </c>
      <c r="G9" s="142">
        <f t="shared" si="0"/>
        <v>329</v>
      </c>
      <c r="H9" s="144">
        <v>256</v>
      </c>
      <c r="I9" s="144">
        <v>33</v>
      </c>
      <c r="J9" s="144">
        <f>SUM(H9:I9)</f>
        <v>289</v>
      </c>
      <c r="K9" s="145">
        <v>246</v>
      </c>
      <c r="L9" s="144">
        <v>38</v>
      </c>
      <c r="M9" s="144">
        <f>SUM(K9:L9)</f>
        <v>284</v>
      </c>
    </row>
    <row r="10" spans="1:13" s="133" customFormat="1" ht="21.75" customHeight="1">
      <c r="A10" s="134" t="s">
        <v>18</v>
      </c>
      <c r="B10" s="135">
        <v>0</v>
      </c>
      <c r="C10" s="135">
        <v>0</v>
      </c>
      <c r="D10" s="136">
        <v>0</v>
      </c>
      <c r="E10" s="137">
        <v>0</v>
      </c>
      <c r="F10" s="135">
        <v>0</v>
      </c>
      <c r="G10" s="138">
        <f t="shared" si="0"/>
        <v>0</v>
      </c>
      <c r="H10" s="146">
        <v>0</v>
      </c>
      <c r="I10" s="146">
        <v>0</v>
      </c>
      <c r="J10" s="139">
        <f>SUM(H10:I10)</f>
        <v>0</v>
      </c>
      <c r="K10" s="147">
        <v>0</v>
      </c>
      <c r="L10" s="146">
        <v>0</v>
      </c>
      <c r="M10" s="139">
        <f>SUM(K10:L10)</f>
        <v>0</v>
      </c>
    </row>
    <row r="11" spans="1:13" s="133" customFormat="1" ht="21.75" customHeight="1">
      <c r="A11" s="134" t="s">
        <v>19</v>
      </c>
      <c r="B11" s="141">
        <v>2010</v>
      </c>
      <c r="C11" s="141">
        <v>144</v>
      </c>
      <c r="D11" s="142">
        <f>SUM(B11:C11)</f>
        <v>2154</v>
      </c>
      <c r="E11" s="143">
        <v>2140</v>
      </c>
      <c r="F11" s="141">
        <v>158</v>
      </c>
      <c r="G11" s="142">
        <f t="shared" si="0"/>
        <v>2298</v>
      </c>
      <c r="H11" s="144">
        <v>1957</v>
      </c>
      <c r="I11" s="144">
        <v>164</v>
      </c>
      <c r="J11" s="144">
        <f>SUM(H11:I11)</f>
        <v>2121</v>
      </c>
      <c r="K11" s="145">
        <f>1979+15</f>
        <v>1994</v>
      </c>
      <c r="L11" s="144">
        <v>183</v>
      </c>
      <c r="M11" s="144">
        <f>SUM(K11:L11)</f>
        <v>2177</v>
      </c>
    </row>
    <row r="12" spans="1:13" s="133" customFormat="1" ht="21.75" customHeight="1">
      <c r="A12" s="134" t="s">
        <v>58</v>
      </c>
      <c r="B12" s="141"/>
      <c r="C12" s="141"/>
      <c r="D12" s="142"/>
      <c r="E12" s="143"/>
      <c r="F12" s="141"/>
      <c r="G12" s="142"/>
      <c r="H12" s="144"/>
      <c r="I12" s="144"/>
      <c r="J12" s="144"/>
      <c r="K12" s="145"/>
      <c r="L12" s="144"/>
      <c r="M12" s="144"/>
    </row>
    <row r="13" spans="1:13" s="133" customFormat="1" ht="21.75" customHeight="1">
      <c r="A13" s="134" t="s">
        <v>59</v>
      </c>
      <c r="B13" s="135">
        <v>0</v>
      </c>
      <c r="C13" s="135">
        <v>0</v>
      </c>
      <c r="D13" s="136">
        <v>0</v>
      </c>
      <c r="E13" s="137">
        <v>0</v>
      </c>
      <c r="F13" s="135">
        <v>0</v>
      </c>
      <c r="G13" s="138">
        <f t="shared" si="0"/>
        <v>0</v>
      </c>
      <c r="H13" s="146">
        <v>0</v>
      </c>
      <c r="I13" s="146">
        <v>0</v>
      </c>
      <c r="J13" s="139">
        <f aca="true" t="shared" si="1" ref="J13:J23">SUM(H13:I13)</f>
        <v>0</v>
      </c>
      <c r="K13" s="147">
        <v>0</v>
      </c>
      <c r="L13" s="146">
        <v>0</v>
      </c>
      <c r="M13" s="139">
        <f aca="true" t="shared" si="2" ref="M13:M23">SUM(K13:L13)</f>
        <v>0</v>
      </c>
    </row>
    <row r="14" spans="1:13" s="133" customFormat="1" ht="21.75" customHeight="1">
      <c r="A14" s="134" t="s">
        <v>24</v>
      </c>
      <c r="B14" s="135">
        <v>0</v>
      </c>
      <c r="C14" s="135">
        <v>0</v>
      </c>
      <c r="D14" s="136">
        <v>0</v>
      </c>
      <c r="E14" s="137">
        <v>0</v>
      </c>
      <c r="F14" s="135">
        <v>0</v>
      </c>
      <c r="G14" s="138">
        <f t="shared" si="0"/>
        <v>0</v>
      </c>
      <c r="H14" s="146">
        <v>0</v>
      </c>
      <c r="I14" s="146">
        <v>0</v>
      </c>
      <c r="J14" s="139">
        <f t="shared" si="1"/>
        <v>0</v>
      </c>
      <c r="K14" s="147">
        <v>0</v>
      </c>
      <c r="L14" s="146">
        <v>0</v>
      </c>
      <c r="M14" s="139">
        <f t="shared" si="2"/>
        <v>0</v>
      </c>
    </row>
    <row r="15" spans="1:13" s="133" customFormat="1" ht="21.75" customHeight="1">
      <c r="A15" s="134" t="s">
        <v>25</v>
      </c>
      <c r="B15" s="141">
        <f>14+259</f>
        <v>273</v>
      </c>
      <c r="C15" s="141">
        <f>21+39</f>
        <v>60</v>
      </c>
      <c r="D15" s="142">
        <f>SUM(B15:C15)</f>
        <v>333</v>
      </c>
      <c r="E15" s="143">
        <f>15+262</f>
        <v>277</v>
      </c>
      <c r="F15" s="141">
        <f>25+27</f>
        <v>52</v>
      </c>
      <c r="G15" s="142">
        <f t="shared" si="0"/>
        <v>329</v>
      </c>
      <c r="H15" s="144">
        <f>19+255</f>
        <v>274</v>
      </c>
      <c r="I15" s="144">
        <f>27+37</f>
        <v>64</v>
      </c>
      <c r="J15" s="144">
        <f t="shared" si="1"/>
        <v>338</v>
      </c>
      <c r="K15" s="145">
        <v>261</v>
      </c>
      <c r="L15" s="144">
        <v>64</v>
      </c>
      <c r="M15" s="144">
        <f t="shared" si="2"/>
        <v>325</v>
      </c>
    </row>
    <row r="16" spans="1:13" s="133" customFormat="1" ht="21.75" customHeight="1">
      <c r="A16" s="134" t="s">
        <v>26</v>
      </c>
      <c r="B16" s="135">
        <v>0</v>
      </c>
      <c r="C16" s="135">
        <v>0</v>
      </c>
      <c r="D16" s="136">
        <v>0</v>
      </c>
      <c r="E16" s="137">
        <v>0</v>
      </c>
      <c r="F16" s="135">
        <v>0</v>
      </c>
      <c r="G16" s="138">
        <f t="shared" si="0"/>
        <v>0</v>
      </c>
      <c r="H16" s="146">
        <v>0</v>
      </c>
      <c r="I16" s="146">
        <v>0</v>
      </c>
      <c r="J16" s="139">
        <f t="shared" si="1"/>
        <v>0</v>
      </c>
      <c r="K16" s="147">
        <v>0</v>
      </c>
      <c r="L16" s="146">
        <v>0</v>
      </c>
      <c r="M16" s="139">
        <f t="shared" si="2"/>
        <v>0</v>
      </c>
    </row>
    <row r="17" spans="1:13" s="133" customFormat="1" ht="21.75" customHeight="1">
      <c r="A17" s="148" t="s">
        <v>28</v>
      </c>
      <c r="B17" s="141">
        <v>121</v>
      </c>
      <c r="C17" s="141">
        <v>203</v>
      </c>
      <c r="D17" s="142">
        <f>SUM(B17:C17)</f>
        <v>324</v>
      </c>
      <c r="E17" s="143">
        <v>176</v>
      </c>
      <c r="F17" s="141">
        <v>253</v>
      </c>
      <c r="G17" s="142">
        <f t="shared" si="0"/>
        <v>429</v>
      </c>
      <c r="H17" s="144">
        <v>172</v>
      </c>
      <c r="I17" s="144">
        <v>238</v>
      </c>
      <c r="J17" s="144">
        <f t="shared" si="1"/>
        <v>410</v>
      </c>
      <c r="K17" s="145">
        <v>129</v>
      </c>
      <c r="L17" s="144">
        <v>188</v>
      </c>
      <c r="M17" s="144">
        <f t="shared" si="2"/>
        <v>317</v>
      </c>
    </row>
    <row r="18" spans="1:13" s="133" customFormat="1" ht="21.75" customHeight="1">
      <c r="A18" s="134" t="s">
        <v>60</v>
      </c>
      <c r="B18" s="141">
        <v>30469</v>
      </c>
      <c r="C18" s="141">
        <v>8225</v>
      </c>
      <c r="D18" s="142">
        <f>SUM(B18:C18)</f>
        <v>38694</v>
      </c>
      <c r="E18" s="143">
        <v>30346</v>
      </c>
      <c r="F18" s="141">
        <v>8350</v>
      </c>
      <c r="G18" s="142">
        <f t="shared" si="0"/>
        <v>38696</v>
      </c>
      <c r="H18" s="144">
        <v>30801</v>
      </c>
      <c r="I18" s="144">
        <v>8708</v>
      </c>
      <c r="J18" s="144">
        <f t="shared" si="1"/>
        <v>39509</v>
      </c>
      <c r="K18" s="145">
        <f>28727+20+2378</f>
        <v>31125</v>
      </c>
      <c r="L18" s="144">
        <f>8553+599</f>
        <v>9152</v>
      </c>
      <c r="M18" s="144">
        <f t="shared" si="2"/>
        <v>40277</v>
      </c>
    </row>
    <row r="19" spans="1:13" s="133" customFormat="1" ht="21.75" customHeight="1">
      <c r="A19" s="149" t="s">
        <v>61</v>
      </c>
      <c r="B19" s="150"/>
      <c r="C19" s="150"/>
      <c r="D19" s="150"/>
      <c r="E19" s="151">
        <v>2663</v>
      </c>
      <c r="F19" s="152">
        <v>570</v>
      </c>
      <c r="G19" s="152">
        <f t="shared" si="0"/>
        <v>3233</v>
      </c>
      <c r="H19" s="153">
        <v>2504</v>
      </c>
      <c r="I19" s="154">
        <v>571</v>
      </c>
      <c r="J19" s="154">
        <f t="shared" si="1"/>
        <v>3075</v>
      </c>
      <c r="K19" s="153">
        <v>2378</v>
      </c>
      <c r="L19" s="154">
        <v>599</v>
      </c>
      <c r="M19" s="154">
        <f t="shared" si="2"/>
        <v>2977</v>
      </c>
    </row>
    <row r="20" spans="1:13" s="133" customFormat="1" ht="21.75" customHeight="1">
      <c r="A20" s="149" t="s">
        <v>62</v>
      </c>
      <c r="B20" s="150"/>
      <c r="C20" s="150"/>
      <c r="D20" s="150"/>
      <c r="E20" s="153">
        <v>5409</v>
      </c>
      <c r="F20" s="154">
        <v>921</v>
      </c>
      <c r="G20" s="154">
        <f>SUM(E20:F20)</f>
        <v>6330</v>
      </c>
      <c r="H20" s="153">
        <v>5890</v>
      </c>
      <c r="I20" s="154">
        <v>972</v>
      </c>
      <c r="J20" s="154">
        <f t="shared" si="1"/>
        <v>6862</v>
      </c>
      <c r="K20" s="153">
        <v>6029</v>
      </c>
      <c r="L20" s="154">
        <v>1021</v>
      </c>
      <c r="M20" s="154">
        <f t="shared" si="2"/>
        <v>7050</v>
      </c>
    </row>
    <row r="21" spans="1:13" s="133" customFormat="1" ht="21.75" customHeight="1">
      <c r="A21" s="134" t="s">
        <v>31</v>
      </c>
      <c r="B21" s="150">
        <v>7717</v>
      </c>
      <c r="C21" s="144">
        <v>6333</v>
      </c>
      <c r="D21" s="130">
        <f>SUM(B21:C21)</f>
        <v>14050</v>
      </c>
      <c r="E21" s="143">
        <v>7527</v>
      </c>
      <c r="F21" s="141">
        <v>6826</v>
      </c>
      <c r="G21" s="142">
        <f t="shared" si="0"/>
        <v>14353</v>
      </c>
      <c r="H21" s="130">
        <v>7431</v>
      </c>
      <c r="I21" s="144">
        <v>7113</v>
      </c>
      <c r="J21" s="143">
        <f t="shared" si="1"/>
        <v>14544</v>
      </c>
      <c r="K21" s="150">
        <f>7349+8</f>
        <v>7357</v>
      </c>
      <c r="L21" s="144">
        <v>7377</v>
      </c>
      <c r="M21" s="143">
        <f t="shared" si="2"/>
        <v>14734</v>
      </c>
    </row>
    <row r="22" spans="1:13" s="133" customFormat="1" ht="21.75" customHeight="1">
      <c r="A22" s="134" t="s">
        <v>32</v>
      </c>
      <c r="B22" s="150">
        <v>5710</v>
      </c>
      <c r="C22" s="144">
        <v>4255</v>
      </c>
      <c r="D22" s="130">
        <f>SUM(B22:C22)</f>
        <v>9965</v>
      </c>
      <c r="E22" s="143">
        <v>5916</v>
      </c>
      <c r="F22" s="141">
        <v>4567</v>
      </c>
      <c r="G22" s="142">
        <f t="shared" si="0"/>
        <v>10483</v>
      </c>
      <c r="H22" s="130">
        <v>6091</v>
      </c>
      <c r="I22" s="144">
        <v>4753</v>
      </c>
      <c r="J22" s="143">
        <f t="shared" si="1"/>
        <v>10844</v>
      </c>
      <c r="K22" s="145">
        <v>6080</v>
      </c>
      <c r="L22" s="144">
        <v>4763</v>
      </c>
      <c r="M22" s="143">
        <f t="shared" si="2"/>
        <v>10843</v>
      </c>
    </row>
    <row r="23" spans="1:13" s="133" customFormat="1" ht="21.75" customHeight="1">
      <c r="A23" s="134" t="s">
        <v>33</v>
      </c>
      <c r="B23" s="150">
        <v>289</v>
      </c>
      <c r="C23" s="144">
        <v>44</v>
      </c>
      <c r="D23" s="130">
        <f>SUM(B23:C23)</f>
        <v>333</v>
      </c>
      <c r="E23" s="130">
        <v>206</v>
      </c>
      <c r="F23" s="144">
        <v>32</v>
      </c>
      <c r="G23" s="130">
        <f t="shared" si="0"/>
        <v>238</v>
      </c>
      <c r="H23" s="130">
        <v>231</v>
      </c>
      <c r="I23" s="144">
        <v>38</v>
      </c>
      <c r="J23" s="143">
        <f t="shared" si="1"/>
        <v>269</v>
      </c>
      <c r="K23" s="150">
        <v>239</v>
      </c>
      <c r="L23" s="144">
        <v>58</v>
      </c>
      <c r="M23" s="143">
        <f t="shared" si="2"/>
        <v>297</v>
      </c>
    </row>
    <row r="24" spans="1:13" s="133" customFormat="1" ht="8.25" customHeight="1">
      <c r="A24" s="155"/>
      <c r="B24" s="150"/>
      <c r="C24" s="144"/>
      <c r="D24" s="156"/>
      <c r="E24" s="130"/>
      <c r="F24" s="144"/>
      <c r="G24" s="130"/>
      <c r="H24" s="130"/>
      <c r="I24" s="144"/>
      <c r="J24" s="130"/>
      <c r="K24" s="130"/>
      <c r="L24" s="144"/>
      <c r="M24" s="143"/>
    </row>
    <row r="25" spans="1:13" s="133" customFormat="1" ht="6.75" customHeight="1">
      <c r="A25" s="157"/>
      <c r="B25" s="158"/>
      <c r="C25" s="131"/>
      <c r="D25" s="159"/>
      <c r="E25" s="132"/>
      <c r="F25" s="131"/>
      <c r="G25" s="132"/>
      <c r="H25" s="132"/>
      <c r="I25" s="131"/>
      <c r="J25" s="132"/>
      <c r="K25" s="132"/>
      <c r="L25" s="131"/>
      <c r="M25" s="160"/>
    </row>
    <row r="26" spans="1:13" s="133" customFormat="1" ht="18.75" customHeight="1">
      <c r="A26" s="161" t="s">
        <v>34</v>
      </c>
      <c r="B26" s="145">
        <f>SUM(B7,B9,B11,B15,B17,B18:B23)</f>
        <v>51757</v>
      </c>
      <c r="C26" s="145">
        <f>SUM(C7,C9,C11,C15,C17,C18:C23)</f>
        <v>19715</v>
      </c>
      <c r="D26" s="130">
        <f>SUM(B26:C26)</f>
        <v>71472</v>
      </c>
      <c r="E26" s="144">
        <f>SUM(E7:E25)-E19-E20</f>
        <v>51931</v>
      </c>
      <c r="F26" s="144">
        <f aca="true" t="shared" si="3" ref="F26:M26">SUM(F7:F25)-F19-F20</f>
        <v>20701</v>
      </c>
      <c r="G26" s="144">
        <f t="shared" si="3"/>
        <v>72632</v>
      </c>
      <c r="H26" s="144">
        <f t="shared" si="3"/>
        <v>52112</v>
      </c>
      <c r="I26" s="144">
        <f t="shared" si="3"/>
        <v>21541</v>
      </c>
      <c r="J26" s="144">
        <f t="shared" si="3"/>
        <v>73653</v>
      </c>
      <c r="K26" s="144">
        <f t="shared" si="3"/>
        <v>52111</v>
      </c>
      <c r="L26" s="144">
        <f t="shared" si="3"/>
        <v>22247</v>
      </c>
      <c r="M26" s="144">
        <f t="shared" si="3"/>
        <v>74358</v>
      </c>
    </row>
    <row r="27" spans="1:13" ht="12.75">
      <c r="A27" s="162"/>
      <c r="B27" s="163"/>
      <c r="C27" s="162"/>
      <c r="D27" s="164"/>
      <c r="E27" s="165"/>
      <c r="F27" s="162"/>
      <c r="G27" s="164"/>
      <c r="H27" s="165"/>
      <c r="I27" s="162"/>
      <c r="J27" s="164"/>
      <c r="K27" s="165"/>
      <c r="L27" s="162"/>
      <c r="M27" s="162"/>
    </row>
    <row r="29" ht="15.75">
      <c r="A29" s="82" t="s">
        <v>63</v>
      </c>
    </row>
  </sheetData>
  <mergeCells count="5">
    <mergeCell ref="K4:M5"/>
    <mergeCell ref="A4:A6"/>
    <mergeCell ref="B4:D5"/>
    <mergeCell ref="E4:G5"/>
    <mergeCell ref="H4:J5"/>
  </mergeCells>
  <printOptions/>
  <pageMargins left="0.16" right="0.09" top="0.44" bottom="0.65" header="0.2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7"/>
  <sheetViews>
    <sheetView workbookViewId="0" topLeftCell="N1">
      <selection activeCell="AE12" sqref="AE12"/>
    </sheetView>
  </sheetViews>
  <sheetFormatPr defaultColWidth="9.140625" defaultRowHeight="12.75"/>
  <cols>
    <col min="1" max="1" width="2.7109375" style="166" customWidth="1"/>
    <col min="2" max="2" width="0.71875" style="166" customWidth="1"/>
    <col min="3" max="3" width="2.8515625" style="166" customWidth="1"/>
    <col min="4" max="4" width="36.421875" style="166" customWidth="1"/>
    <col min="5" max="5" width="7.8515625" style="166" hidden="1" customWidth="1"/>
    <col min="6" max="6" width="1.421875" style="166" hidden="1" customWidth="1"/>
    <col min="7" max="7" width="7.8515625" style="166" hidden="1" customWidth="1"/>
    <col min="8" max="8" width="1.421875" style="166" hidden="1" customWidth="1"/>
    <col min="9" max="9" width="7.8515625" style="166" hidden="1" customWidth="1"/>
    <col min="10" max="10" width="1.421875" style="166" hidden="1" customWidth="1"/>
    <col min="11" max="11" width="7.8515625" style="166" customWidth="1"/>
    <col min="12" max="12" width="1.421875" style="166" customWidth="1"/>
    <col min="13" max="13" width="7.8515625" style="166" customWidth="1"/>
    <col min="14" max="14" width="1.421875" style="166" customWidth="1"/>
    <col min="15" max="15" width="7.8515625" style="166" customWidth="1"/>
    <col min="16" max="16" width="1.421875" style="166" customWidth="1"/>
    <col min="17" max="17" width="7.8515625" style="166" customWidth="1"/>
    <col min="18" max="18" width="1.421875" style="166" customWidth="1"/>
    <col min="19" max="19" width="7.8515625" style="166" customWidth="1"/>
    <col min="20" max="20" width="1.421875" style="166" customWidth="1"/>
    <col min="21" max="21" width="7.8515625" style="166" customWidth="1"/>
    <col min="22" max="22" width="1.421875" style="166" customWidth="1"/>
    <col min="23" max="23" width="7.8515625" style="166" customWidth="1"/>
    <col min="24" max="24" width="1.421875" style="166" customWidth="1"/>
    <col min="25" max="25" width="7.8515625" style="166" customWidth="1"/>
    <col min="26" max="26" width="1.421875" style="166" customWidth="1"/>
    <col min="27" max="27" width="7.8515625" style="166" customWidth="1"/>
    <col min="28" max="28" width="1.7109375" style="166" customWidth="1"/>
    <col min="29" max="29" width="9.28125" style="166" customWidth="1"/>
    <col min="30" max="16384" width="9.140625" style="166" customWidth="1"/>
  </cols>
  <sheetData>
    <row r="1" spans="3:23" ht="38.25" customHeight="1">
      <c r="C1" s="167" t="s">
        <v>64</v>
      </c>
      <c r="W1" s="168"/>
    </row>
    <row r="2" spans="1:3" ht="4.5" customHeight="1">
      <c r="A2" s="169"/>
      <c r="B2" s="169"/>
      <c r="C2" s="169"/>
    </row>
    <row r="3" spans="1:4" ht="6" customHeight="1">
      <c r="A3" s="170"/>
      <c r="B3" s="170"/>
      <c r="D3" s="171" t="s">
        <v>9</v>
      </c>
    </row>
    <row r="4" spans="1:28" s="4" customFormat="1" ht="12.75">
      <c r="A4" s="2"/>
      <c r="B4" s="8"/>
      <c r="C4" s="71"/>
      <c r="D4" s="172"/>
      <c r="E4" s="173"/>
      <c r="F4" s="172"/>
      <c r="G4" s="172"/>
      <c r="H4" s="172"/>
      <c r="I4" s="172"/>
      <c r="J4" s="172"/>
      <c r="K4" s="87"/>
      <c r="L4" s="172"/>
      <c r="M4" s="172"/>
      <c r="N4" s="172"/>
      <c r="O4" s="172"/>
      <c r="P4" s="174"/>
      <c r="Q4" s="87"/>
      <c r="R4" s="172"/>
      <c r="S4" s="172"/>
      <c r="T4" s="172"/>
      <c r="U4" s="172"/>
      <c r="V4" s="174"/>
      <c r="W4" s="87"/>
      <c r="X4" s="172"/>
      <c r="Y4" s="172"/>
      <c r="Z4" s="172"/>
      <c r="AA4" s="172"/>
      <c r="AB4" s="174"/>
    </row>
    <row r="5" spans="1:28" s="4" customFormat="1" ht="15.75">
      <c r="A5" s="2"/>
      <c r="B5" s="89"/>
      <c r="C5" s="2"/>
      <c r="D5" s="175" t="s">
        <v>9</v>
      </c>
      <c r="E5" s="176" t="s">
        <v>65</v>
      </c>
      <c r="F5" s="177"/>
      <c r="G5" s="178"/>
      <c r="H5" s="179"/>
      <c r="I5" s="177"/>
      <c r="J5" s="177"/>
      <c r="K5" s="180" t="s">
        <v>66</v>
      </c>
      <c r="L5" s="177"/>
      <c r="M5" s="177"/>
      <c r="N5" s="179"/>
      <c r="O5" s="177"/>
      <c r="P5" s="181"/>
      <c r="Q5" s="182" t="s">
        <v>67</v>
      </c>
      <c r="R5" s="177"/>
      <c r="S5" s="178"/>
      <c r="T5" s="179"/>
      <c r="U5" s="177"/>
      <c r="V5" s="177"/>
      <c r="W5" s="180" t="s">
        <v>68</v>
      </c>
      <c r="X5" s="177"/>
      <c r="Y5" s="177"/>
      <c r="Z5" s="179"/>
      <c r="AA5" s="177"/>
      <c r="AB5" s="181"/>
    </row>
    <row r="6" spans="1:28" s="4" customFormat="1" ht="12" customHeight="1">
      <c r="A6" s="2"/>
      <c r="B6" s="89"/>
      <c r="C6" s="2"/>
      <c r="D6" s="175" t="s">
        <v>69</v>
      </c>
      <c r="E6" s="183"/>
      <c r="F6" s="184"/>
      <c r="G6" s="184"/>
      <c r="H6" s="184"/>
      <c r="I6" s="184"/>
      <c r="J6" s="117"/>
      <c r="K6" s="185"/>
      <c r="L6" s="184"/>
      <c r="M6" s="184"/>
      <c r="N6" s="184"/>
      <c r="O6" s="184"/>
      <c r="P6" s="186"/>
      <c r="Q6" s="184"/>
      <c r="R6" s="184"/>
      <c r="S6" s="184"/>
      <c r="T6" s="184"/>
      <c r="U6" s="184"/>
      <c r="V6" s="117"/>
      <c r="W6" s="185"/>
      <c r="X6" s="184"/>
      <c r="Y6" s="184"/>
      <c r="Z6" s="184"/>
      <c r="AA6" s="184"/>
      <c r="AB6" s="186"/>
    </row>
    <row r="7" spans="1:28" s="4" customFormat="1" ht="4.5" customHeight="1">
      <c r="A7" s="2"/>
      <c r="B7" s="89"/>
      <c r="C7" s="2"/>
      <c r="D7" s="175"/>
      <c r="E7" s="187"/>
      <c r="F7" s="117"/>
      <c r="G7" s="188"/>
      <c r="H7" s="117"/>
      <c r="I7" s="188"/>
      <c r="J7" s="172"/>
      <c r="K7" s="188"/>
      <c r="L7" s="117"/>
      <c r="M7" s="188"/>
      <c r="N7" s="117"/>
      <c r="O7" s="188"/>
      <c r="P7" s="174"/>
      <c r="Q7" s="117"/>
      <c r="R7" s="117"/>
      <c r="S7" s="188"/>
      <c r="T7" s="117"/>
      <c r="U7" s="188"/>
      <c r="V7" s="172"/>
      <c r="W7" s="188"/>
      <c r="X7" s="117"/>
      <c r="Y7" s="188"/>
      <c r="Z7" s="117"/>
      <c r="AA7" s="188"/>
      <c r="AB7" s="174"/>
    </row>
    <row r="8" spans="1:28" s="4" customFormat="1" ht="25.5" customHeight="1">
      <c r="A8" s="2"/>
      <c r="B8" s="89"/>
      <c r="C8" s="2"/>
      <c r="D8" s="117"/>
      <c r="E8" s="189" t="s">
        <v>6</v>
      </c>
      <c r="F8" s="177"/>
      <c r="G8" s="190" t="s">
        <v>7</v>
      </c>
      <c r="H8" s="181"/>
      <c r="I8" s="191" t="s">
        <v>37</v>
      </c>
      <c r="J8" s="192"/>
      <c r="K8" s="190" t="s">
        <v>6</v>
      </c>
      <c r="L8" s="177"/>
      <c r="M8" s="190" t="s">
        <v>7</v>
      </c>
      <c r="N8" s="181"/>
      <c r="O8" s="192" t="s">
        <v>37</v>
      </c>
      <c r="P8" s="193"/>
      <c r="Q8" s="177" t="s">
        <v>6</v>
      </c>
      <c r="R8" s="177"/>
      <c r="S8" s="190" t="s">
        <v>7</v>
      </c>
      <c r="T8" s="181"/>
      <c r="U8" s="191" t="s">
        <v>37</v>
      </c>
      <c r="V8" s="192"/>
      <c r="W8" s="190" t="s">
        <v>6</v>
      </c>
      <c r="X8" s="177"/>
      <c r="Y8" s="190" t="s">
        <v>7</v>
      </c>
      <c r="Z8" s="181"/>
      <c r="AA8" s="192" t="s">
        <v>37</v>
      </c>
      <c r="AB8" s="193"/>
    </row>
    <row r="9" spans="1:28" s="4" customFormat="1" ht="4.5" customHeight="1">
      <c r="A9" s="2"/>
      <c r="B9" s="22"/>
      <c r="C9" s="6"/>
      <c r="D9" s="184"/>
      <c r="E9" s="183"/>
      <c r="F9" s="194"/>
      <c r="G9" s="185"/>
      <c r="H9" s="194"/>
      <c r="I9" s="185"/>
      <c r="J9" s="184"/>
      <c r="K9" s="185"/>
      <c r="L9" s="194"/>
      <c r="M9" s="185"/>
      <c r="N9" s="194"/>
      <c r="O9" s="185"/>
      <c r="P9" s="194"/>
      <c r="Q9" s="184"/>
      <c r="R9" s="194"/>
      <c r="S9" s="185"/>
      <c r="T9" s="194"/>
      <c r="U9" s="185"/>
      <c r="V9" s="184"/>
      <c r="W9" s="185"/>
      <c r="X9" s="194"/>
      <c r="Y9" s="185"/>
      <c r="Z9" s="194"/>
      <c r="AA9" s="185"/>
      <c r="AB9" s="194"/>
    </row>
    <row r="10" spans="1:28" s="206" customFormat="1" ht="31.5" customHeight="1">
      <c r="A10" s="195"/>
      <c r="B10" s="196"/>
      <c r="C10" s="197" t="s">
        <v>15</v>
      </c>
      <c r="D10" s="198"/>
      <c r="E10" s="199">
        <f>SUM(E11:E21)</f>
        <v>27397</v>
      </c>
      <c r="F10" s="200"/>
      <c r="G10" s="201">
        <f>SUM(G11:G21)</f>
        <v>55119</v>
      </c>
      <c r="H10" s="200"/>
      <c r="I10" s="202">
        <f>SUM(E10,G10)</f>
        <v>82516</v>
      </c>
      <c r="J10" s="203"/>
      <c r="K10" s="204">
        <v>26098</v>
      </c>
      <c r="L10" s="200"/>
      <c r="M10" s="201">
        <v>48625</v>
      </c>
      <c r="N10" s="200"/>
      <c r="O10" s="202">
        <f>K10+M10</f>
        <v>74723</v>
      </c>
      <c r="P10" s="205"/>
      <c r="Q10" s="201">
        <v>23901</v>
      </c>
      <c r="R10" s="200"/>
      <c r="S10" s="201">
        <v>41258</v>
      </c>
      <c r="T10" s="200"/>
      <c r="U10" s="202">
        <v>65159</v>
      </c>
      <c r="V10" s="203"/>
      <c r="W10" s="202">
        <f>SUM(W11:W21)</f>
        <v>23625</v>
      </c>
      <c r="X10" s="203"/>
      <c r="Y10" s="202">
        <f>SUM(Y11:Y21)</f>
        <v>40737</v>
      </c>
      <c r="Z10" s="200"/>
      <c r="AA10" s="202">
        <f>W10+Y10</f>
        <v>64362</v>
      </c>
      <c r="AB10" s="205"/>
    </row>
    <row r="11" spans="1:28" s="4" customFormat="1" ht="21.75" customHeight="1">
      <c r="A11" s="2"/>
      <c r="B11" s="89"/>
      <c r="C11" s="2"/>
      <c r="D11" s="117" t="s">
        <v>70</v>
      </c>
      <c r="E11" s="207">
        <v>676</v>
      </c>
      <c r="F11" s="208"/>
      <c r="G11" s="209">
        <v>1435</v>
      </c>
      <c r="H11" s="208"/>
      <c r="I11" s="209">
        <f>SUM(E11,G11)</f>
        <v>2111</v>
      </c>
      <c r="J11" s="210"/>
      <c r="K11" s="112">
        <v>750</v>
      </c>
      <c r="L11" s="208"/>
      <c r="M11" s="210">
        <v>1840</v>
      </c>
      <c r="N11" s="208"/>
      <c r="O11" s="210">
        <f>K11+M11</f>
        <v>2590</v>
      </c>
      <c r="P11" s="208"/>
      <c r="Q11" s="210">
        <v>798</v>
      </c>
      <c r="R11" s="208"/>
      <c r="S11" s="209">
        <v>1854</v>
      </c>
      <c r="T11" s="208"/>
      <c r="U11" s="209">
        <v>2652</v>
      </c>
      <c r="V11" s="210"/>
      <c r="W11" s="112">
        <f>1156+87+12</f>
        <v>1255</v>
      </c>
      <c r="X11" s="208"/>
      <c r="Y11" s="210">
        <f>2652+47+168+23</f>
        <v>2890</v>
      </c>
      <c r="Z11" s="208"/>
      <c r="AA11" s="210">
        <f>W11+Y11</f>
        <v>4145</v>
      </c>
      <c r="AB11" s="208"/>
    </row>
    <row r="12" spans="1:28" s="4" customFormat="1" ht="21.75" customHeight="1">
      <c r="A12" s="2"/>
      <c r="B12" s="89"/>
      <c r="C12" s="2"/>
      <c r="D12" s="117" t="s">
        <v>71</v>
      </c>
      <c r="E12" s="207">
        <v>4679</v>
      </c>
      <c r="F12" s="208"/>
      <c r="G12" s="209">
        <v>2539</v>
      </c>
      <c r="H12" s="208"/>
      <c r="I12" s="209">
        <f aca="true" t="shared" si="0" ref="I12:I21">SUM(E12,G12)</f>
        <v>7218</v>
      </c>
      <c r="J12" s="210"/>
      <c r="K12" s="112">
        <v>4843</v>
      </c>
      <c r="L12" s="208"/>
      <c r="M12" s="210">
        <v>2838</v>
      </c>
      <c r="N12" s="208"/>
      <c r="O12" s="210">
        <f aca="true" t="shared" si="1" ref="O12:O24">K12+M12</f>
        <v>7681</v>
      </c>
      <c r="P12" s="208"/>
      <c r="Q12" s="210">
        <v>3408</v>
      </c>
      <c r="R12" s="208"/>
      <c r="S12" s="209">
        <v>1974</v>
      </c>
      <c r="T12" s="208"/>
      <c r="U12" s="209">
        <v>5382</v>
      </c>
      <c r="V12" s="210"/>
      <c r="W12" s="112">
        <f>3585+358</f>
        <v>3943</v>
      </c>
      <c r="X12" s="208"/>
      <c r="Y12" s="210">
        <f>1923+168</f>
        <v>2091</v>
      </c>
      <c r="Z12" s="208"/>
      <c r="AA12" s="210">
        <f>W12+Y12</f>
        <v>6034</v>
      </c>
      <c r="AB12" s="208"/>
    </row>
    <row r="13" spans="1:28" s="4" customFormat="1" ht="21.75" customHeight="1">
      <c r="A13" s="2"/>
      <c r="B13" s="89"/>
      <c r="C13" s="2"/>
      <c r="D13" s="117" t="s">
        <v>72</v>
      </c>
      <c r="E13" s="207">
        <v>19581</v>
      </c>
      <c r="F13" s="208"/>
      <c r="G13" s="112">
        <v>46811</v>
      </c>
      <c r="H13" s="208"/>
      <c r="I13" s="112">
        <f t="shared" si="0"/>
        <v>66392</v>
      </c>
      <c r="J13" s="210"/>
      <c r="K13" s="112">
        <v>17957</v>
      </c>
      <c r="L13" s="208"/>
      <c r="M13" s="112">
        <v>39607</v>
      </c>
      <c r="N13" s="208"/>
      <c r="O13" s="112">
        <f t="shared" si="1"/>
        <v>57564</v>
      </c>
      <c r="P13" s="208"/>
      <c r="Q13" s="210">
        <v>17119</v>
      </c>
      <c r="R13" s="208"/>
      <c r="S13" s="112">
        <v>33033</v>
      </c>
      <c r="T13" s="208"/>
      <c r="U13" s="209">
        <v>50152</v>
      </c>
      <c r="V13" s="210"/>
      <c r="W13" s="112">
        <f>14993+989</f>
        <v>15982</v>
      </c>
      <c r="X13" s="208"/>
      <c r="Y13" s="112">
        <f>30154+1437</f>
        <v>31591</v>
      </c>
      <c r="Z13" s="208"/>
      <c r="AA13" s="210">
        <f>W13+Y13</f>
        <v>47573</v>
      </c>
      <c r="AB13" s="208"/>
    </row>
    <row r="14" spans="1:28" s="4" customFormat="1" ht="21.75" customHeight="1">
      <c r="A14" s="2"/>
      <c r="B14" s="89"/>
      <c r="C14" s="2"/>
      <c r="D14" s="117" t="s">
        <v>73</v>
      </c>
      <c r="E14" s="207">
        <v>168</v>
      </c>
      <c r="F14" s="208"/>
      <c r="G14" s="209">
        <v>609</v>
      </c>
      <c r="H14" s="208"/>
      <c r="I14" s="209">
        <f t="shared" si="0"/>
        <v>777</v>
      </c>
      <c r="J14" s="210"/>
      <c r="K14" s="112">
        <v>155</v>
      </c>
      <c r="L14" s="208"/>
      <c r="M14" s="210">
        <v>639</v>
      </c>
      <c r="N14" s="208"/>
      <c r="O14" s="210">
        <f t="shared" si="1"/>
        <v>794</v>
      </c>
      <c r="P14" s="208"/>
      <c r="Q14" s="210">
        <v>152</v>
      </c>
      <c r="R14" s="208"/>
      <c r="S14" s="209">
        <v>586</v>
      </c>
      <c r="T14" s="208"/>
      <c r="U14" s="209">
        <v>738</v>
      </c>
      <c r="V14" s="210"/>
      <c r="W14" s="112">
        <f>111+26</f>
        <v>137</v>
      </c>
      <c r="X14" s="208"/>
      <c r="Y14" s="210">
        <f>495+27</f>
        <v>522</v>
      </c>
      <c r="Z14" s="208"/>
      <c r="AA14" s="210">
        <f>W14+Y14</f>
        <v>659</v>
      </c>
      <c r="AB14" s="208"/>
    </row>
    <row r="15" spans="1:28" s="4" customFormat="1" ht="21.75" customHeight="1">
      <c r="A15" s="2"/>
      <c r="B15" s="89"/>
      <c r="C15" s="2"/>
      <c r="D15" s="117" t="s">
        <v>74</v>
      </c>
      <c r="E15" s="207">
        <v>233</v>
      </c>
      <c r="F15" s="208"/>
      <c r="G15" s="209">
        <v>120</v>
      </c>
      <c r="H15" s="208"/>
      <c r="I15" s="209">
        <f t="shared" si="0"/>
        <v>353</v>
      </c>
      <c r="J15" s="210"/>
      <c r="K15" s="112">
        <v>227</v>
      </c>
      <c r="L15" s="208"/>
      <c r="M15" s="210">
        <v>122</v>
      </c>
      <c r="N15" s="208"/>
      <c r="O15" s="210">
        <f t="shared" si="1"/>
        <v>349</v>
      </c>
      <c r="P15" s="208"/>
      <c r="Q15" s="210">
        <v>265</v>
      </c>
      <c r="R15" s="208"/>
      <c r="S15" s="209">
        <v>137</v>
      </c>
      <c r="T15" s="208"/>
      <c r="U15" s="209">
        <v>402</v>
      </c>
      <c r="V15" s="210"/>
      <c r="W15" s="112">
        <f>151+65</f>
        <v>216</v>
      </c>
      <c r="X15" s="208"/>
      <c r="Y15" s="210">
        <f>137+1</f>
        <v>138</v>
      </c>
      <c r="Z15" s="208"/>
      <c r="AA15" s="210">
        <f aca="true" t="shared" si="2" ref="AA15:AA22">W15+Y15</f>
        <v>354</v>
      </c>
      <c r="AB15" s="208"/>
    </row>
    <row r="16" spans="1:28" s="4" customFormat="1" ht="21.75" customHeight="1">
      <c r="A16" s="2"/>
      <c r="B16" s="89"/>
      <c r="C16" s="2"/>
      <c r="D16" s="211" t="s">
        <v>75</v>
      </c>
      <c r="E16" s="207">
        <v>333</v>
      </c>
      <c r="F16" s="208"/>
      <c r="G16" s="209">
        <v>499</v>
      </c>
      <c r="H16" s="208"/>
      <c r="I16" s="209">
        <f t="shared" si="0"/>
        <v>832</v>
      </c>
      <c r="J16" s="210"/>
      <c r="K16" s="112">
        <v>381</v>
      </c>
      <c r="L16" s="208"/>
      <c r="M16" s="210">
        <v>500</v>
      </c>
      <c r="N16" s="208"/>
      <c r="O16" s="210">
        <f t="shared" si="1"/>
        <v>881</v>
      </c>
      <c r="P16" s="208"/>
      <c r="Q16" s="210">
        <v>286</v>
      </c>
      <c r="R16" s="208"/>
      <c r="S16" s="209">
        <v>451</v>
      </c>
      <c r="T16" s="208"/>
      <c r="U16" s="209">
        <v>737</v>
      </c>
      <c r="V16" s="210"/>
      <c r="W16" s="112">
        <v>286</v>
      </c>
      <c r="X16" s="208"/>
      <c r="Y16" s="210">
        <v>513</v>
      </c>
      <c r="Z16" s="208"/>
      <c r="AA16" s="210">
        <f t="shared" si="2"/>
        <v>799</v>
      </c>
      <c r="AB16" s="208"/>
    </row>
    <row r="17" spans="1:28" s="4" customFormat="1" ht="21.75" customHeight="1">
      <c r="A17" s="2"/>
      <c r="B17" s="89"/>
      <c r="C17" s="2"/>
      <c r="D17" s="117" t="s">
        <v>76</v>
      </c>
      <c r="E17" s="207">
        <v>267</v>
      </c>
      <c r="F17" s="208"/>
      <c r="G17" s="209">
        <v>408</v>
      </c>
      <c r="H17" s="208"/>
      <c r="I17" s="209">
        <f t="shared" si="0"/>
        <v>675</v>
      </c>
      <c r="J17" s="210"/>
      <c r="K17" s="112">
        <v>244</v>
      </c>
      <c r="L17" s="208"/>
      <c r="M17" s="210">
        <v>444</v>
      </c>
      <c r="N17" s="208"/>
      <c r="O17" s="210">
        <f t="shared" si="1"/>
        <v>688</v>
      </c>
      <c r="P17" s="208"/>
      <c r="Q17" s="210">
        <v>266</v>
      </c>
      <c r="R17" s="208"/>
      <c r="S17" s="209">
        <v>461</v>
      </c>
      <c r="T17" s="208"/>
      <c r="U17" s="209">
        <v>727</v>
      </c>
      <c r="V17" s="210"/>
      <c r="W17" s="112">
        <v>286</v>
      </c>
      <c r="X17" s="208"/>
      <c r="Y17" s="210">
        <v>483</v>
      </c>
      <c r="Z17" s="208"/>
      <c r="AA17" s="210">
        <f t="shared" si="2"/>
        <v>769</v>
      </c>
      <c r="AB17" s="208"/>
    </row>
    <row r="18" spans="1:28" s="4" customFormat="1" ht="21.75" customHeight="1">
      <c r="A18" s="2"/>
      <c r="B18" s="89"/>
      <c r="C18" s="2"/>
      <c r="D18" s="117" t="s">
        <v>77</v>
      </c>
      <c r="E18" s="207">
        <v>627</v>
      </c>
      <c r="F18" s="208"/>
      <c r="G18" s="209">
        <v>934</v>
      </c>
      <c r="H18" s="208"/>
      <c r="I18" s="209">
        <f t="shared" si="0"/>
        <v>1561</v>
      </c>
      <c r="J18" s="210"/>
      <c r="K18" s="112">
        <v>659</v>
      </c>
      <c r="L18" s="208"/>
      <c r="M18" s="210">
        <v>938</v>
      </c>
      <c r="N18" s="208"/>
      <c r="O18" s="210">
        <f t="shared" si="1"/>
        <v>1597</v>
      </c>
      <c r="P18" s="208"/>
      <c r="Q18" s="210">
        <v>670</v>
      </c>
      <c r="R18" s="208"/>
      <c r="S18" s="209">
        <v>1041</v>
      </c>
      <c r="T18" s="208"/>
      <c r="U18" s="209">
        <v>1711</v>
      </c>
      <c r="V18" s="210"/>
      <c r="W18" s="112">
        <v>610</v>
      </c>
      <c r="X18" s="208"/>
      <c r="Y18" s="210">
        <v>1061</v>
      </c>
      <c r="Z18" s="208"/>
      <c r="AA18" s="210">
        <f t="shared" si="2"/>
        <v>1671</v>
      </c>
      <c r="AB18" s="208"/>
    </row>
    <row r="19" spans="1:28" s="4" customFormat="1" ht="21.75" customHeight="1">
      <c r="A19" s="2"/>
      <c r="B19" s="89"/>
      <c r="C19" s="2"/>
      <c r="D19" s="117" t="s">
        <v>78</v>
      </c>
      <c r="E19" s="207">
        <v>354</v>
      </c>
      <c r="F19" s="208"/>
      <c r="G19" s="209">
        <v>149</v>
      </c>
      <c r="H19" s="208"/>
      <c r="I19" s="209">
        <f t="shared" si="0"/>
        <v>503</v>
      </c>
      <c r="J19" s="210"/>
      <c r="K19" s="112">
        <v>381</v>
      </c>
      <c r="L19" s="208"/>
      <c r="M19" s="210">
        <v>140</v>
      </c>
      <c r="N19" s="208"/>
      <c r="O19" s="210">
        <f t="shared" si="1"/>
        <v>521</v>
      </c>
      <c r="P19" s="208"/>
      <c r="Q19" s="210">
        <v>358</v>
      </c>
      <c r="R19" s="208"/>
      <c r="S19" s="209">
        <v>164</v>
      </c>
      <c r="T19" s="208"/>
      <c r="U19" s="209">
        <v>522</v>
      </c>
      <c r="V19" s="210"/>
      <c r="W19" s="112">
        <f>135+203</f>
        <v>338</v>
      </c>
      <c r="X19" s="208"/>
      <c r="Y19" s="210">
        <f>41+88</f>
        <v>129</v>
      </c>
      <c r="Z19" s="208"/>
      <c r="AA19" s="210">
        <f t="shared" si="2"/>
        <v>467</v>
      </c>
      <c r="AB19" s="208"/>
    </row>
    <row r="20" spans="1:28" s="4" customFormat="1" ht="21.75" customHeight="1">
      <c r="A20" s="2"/>
      <c r="B20" s="89"/>
      <c r="C20" s="2"/>
      <c r="D20" s="117" t="s">
        <v>79</v>
      </c>
      <c r="E20" s="207">
        <v>198</v>
      </c>
      <c r="F20" s="208"/>
      <c r="G20" s="209">
        <v>201</v>
      </c>
      <c r="H20" s="208"/>
      <c r="I20" s="209">
        <f t="shared" si="0"/>
        <v>399</v>
      </c>
      <c r="J20" s="210"/>
      <c r="K20" s="112">
        <v>191</v>
      </c>
      <c r="L20" s="208"/>
      <c r="M20" s="210">
        <v>170</v>
      </c>
      <c r="N20" s="208"/>
      <c r="O20" s="210">
        <f t="shared" si="1"/>
        <v>361</v>
      </c>
      <c r="P20" s="208"/>
      <c r="Q20" s="210">
        <v>169</v>
      </c>
      <c r="R20" s="208"/>
      <c r="S20" s="209">
        <v>168</v>
      </c>
      <c r="T20" s="208"/>
      <c r="U20" s="209">
        <v>337</v>
      </c>
      <c r="V20" s="210"/>
      <c r="W20" s="112">
        <f>58+119</f>
        <v>177</v>
      </c>
      <c r="X20" s="208"/>
      <c r="Y20" s="210">
        <f>40+92</f>
        <v>132</v>
      </c>
      <c r="Z20" s="208"/>
      <c r="AA20" s="210">
        <f t="shared" si="2"/>
        <v>309</v>
      </c>
      <c r="AB20" s="208"/>
    </row>
    <row r="21" spans="1:28" s="4" customFormat="1" ht="21.75" customHeight="1">
      <c r="A21" s="2"/>
      <c r="B21" s="89"/>
      <c r="C21" s="2"/>
      <c r="D21" s="117" t="s">
        <v>80</v>
      </c>
      <c r="E21" s="207">
        <v>281</v>
      </c>
      <c r="F21" s="208"/>
      <c r="G21" s="209">
        <v>1414</v>
      </c>
      <c r="H21" s="208"/>
      <c r="I21" s="209">
        <f t="shared" si="0"/>
        <v>1695</v>
      </c>
      <c r="J21" s="210"/>
      <c r="K21" s="112">
        <v>310</v>
      </c>
      <c r="L21" s="208"/>
      <c r="M21" s="210">
        <v>1387</v>
      </c>
      <c r="N21" s="208"/>
      <c r="O21" s="210">
        <f t="shared" si="1"/>
        <v>1697</v>
      </c>
      <c r="P21" s="208"/>
      <c r="Q21" s="210">
        <v>410</v>
      </c>
      <c r="R21" s="208"/>
      <c r="S21" s="209">
        <v>1389</v>
      </c>
      <c r="T21" s="208"/>
      <c r="U21" s="209">
        <v>1799</v>
      </c>
      <c r="V21" s="210"/>
      <c r="W21" s="112">
        <f>4+166+9+11+205</f>
        <v>395</v>
      </c>
      <c r="X21" s="208"/>
      <c r="Y21" s="210">
        <f>11+90+65+1+1020</f>
        <v>1187</v>
      </c>
      <c r="Z21" s="208"/>
      <c r="AA21" s="210">
        <f t="shared" si="2"/>
        <v>1582</v>
      </c>
      <c r="AB21" s="208"/>
    </row>
    <row r="22" spans="1:28" s="206" customFormat="1" ht="21.75" customHeight="1">
      <c r="A22" s="195"/>
      <c r="B22" s="196"/>
      <c r="C22" s="197" t="s">
        <v>81</v>
      </c>
      <c r="D22" s="197"/>
      <c r="E22" s="199">
        <v>431</v>
      </c>
      <c r="F22" s="200"/>
      <c r="G22" s="212">
        <v>553</v>
      </c>
      <c r="H22" s="200"/>
      <c r="I22" s="212">
        <f>SUM(E22,G22)</f>
        <v>984</v>
      </c>
      <c r="J22" s="201"/>
      <c r="K22" s="204">
        <v>409</v>
      </c>
      <c r="L22" s="200"/>
      <c r="M22" s="201">
        <v>349</v>
      </c>
      <c r="N22" s="200"/>
      <c r="O22" s="201">
        <f t="shared" si="1"/>
        <v>758</v>
      </c>
      <c r="P22" s="200"/>
      <c r="Q22" s="201">
        <v>481</v>
      </c>
      <c r="R22" s="200"/>
      <c r="S22" s="212">
        <v>398</v>
      </c>
      <c r="T22" s="200"/>
      <c r="U22" s="212">
        <v>879</v>
      </c>
      <c r="V22" s="201"/>
      <c r="W22" s="204">
        <f>354+9+153+7</f>
        <v>523</v>
      </c>
      <c r="X22" s="200"/>
      <c r="Y22" s="201">
        <f>199+9+139+8</f>
        <v>355</v>
      </c>
      <c r="Z22" s="200"/>
      <c r="AA22" s="201">
        <f t="shared" si="2"/>
        <v>878</v>
      </c>
      <c r="AB22" s="200"/>
    </row>
    <row r="23" spans="1:28" s="4" customFormat="1" ht="11.25" customHeight="1">
      <c r="A23" s="2"/>
      <c r="B23" s="22"/>
      <c r="C23" s="2"/>
      <c r="D23" s="117"/>
      <c r="E23" s="207"/>
      <c r="F23" s="213"/>
      <c r="G23" s="214"/>
      <c r="H23" s="208"/>
      <c r="I23" s="112"/>
      <c r="J23" s="210"/>
      <c r="K23" s="112"/>
      <c r="L23" s="213"/>
      <c r="M23" s="214"/>
      <c r="N23" s="208"/>
      <c r="O23" s="32"/>
      <c r="P23" s="208"/>
      <c r="Q23" s="210"/>
      <c r="R23" s="213"/>
      <c r="S23" s="214"/>
      <c r="T23" s="208"/>
      <c r="U23" s="95"/>
      <c r="V23" s="210"/>
      <c r="W23" s="112"/>
      <c r="X23" s="213"/>
      <c r="Y23" s="214"/>
      <c r="Z23" s="208"/>
      <c r="AA23" s="32"/>
      <c r="AB23" s="208"/>
    </row>
    <row r="24" spans="1:28" s="4" customFormat="1" ht="31.5" customHeight="1">
      <c r="A24" s="2"/>
      <c r="B24" s="89"/>
      <c r="C24" s="71"/>
      <c r="D24" s="18" t="s">
        <v>34</v>
      </c>
      <c r="E24" s="215">
        <f>SUM(E10,E22)</f>
        <v>27828</v>
      </c>
      <c r="F24" s="216"/>
      <c r="G24" s="99">
        <f>SUM(G10,G22)</f>
        <v>55672</v>
      </c>
      <c r="H24" s="216"/>
      <c r="I24" s="99">
        <f>SUM(I10,I22)</f>
        <v>83500</v>
      </c>
      <c r="J24" s="217"/>
      <c r="K24" s="99">
        <f>K10+K22</f>
        <v>26507</v>
      </c>
      <c r="L24" s="216"/>
      <c r="M24" s="99">
        <f>M10+M22</f>
        <v>48974</v>
      </c>
      <c r="N24" s="216"/>
      <c r="O24" s="99">
        <f t="shared" si="1"/>
        <v>75481</v>
      </c>
      <c r="P24" s="216"/>
      <c r="Q24" s="217">
        <v>24382</v>
      </c>
      <c r="R24" s="216"/>
      <c r="S24" s="99">
        <v>41656</v>
      </c>
      <c r="T24" s="216"/>
      <c r="U24" s="99">
        <v>66038</v>
      </c>
      <c r="V24" s="217"/>
      <c r="W24" s="99">
        <f>W22+W10</f>
        <v>24148</v>
      </c>
      <c r="X24" s="216"/>
      <c r="Y24" s="99">
        <f>Y22+Y10</f>
        <v>41092</v>
      </c>
      <c r="Z24" s="216"/>
      <c r="AA24" s="217">
        <f>AA22+AA10</f>
        <v>65240</v>
      </c>
      <c r="AB24" s="216"/>
    </row>
    <row r="25" spans="1:28" s="4" customFormat="1" ht="4.5" customHeight="1">
      <c r="A25" s="2"/>
      <c r="B25" s="22"/>
      <c r="C25" s="6"/>
      <c r="D25" s="6"/>
      <c r="E25" s="218"/>
      <c r="F25" s="68"/>
      <c r="G25" s="67"/>
      <c r="H25" s="68"/>
      <c r="I25" s="67"/>
      <c r="J25" s="69"/>
      <c r="K25" s="67"/>
      <c r="L25" s="68"/>
      <c r="M25" s="67"/>
      <c r="N25" s="68"/>
      <c r="O25" s="67"/>
      <c r="P25" s="68"/>
      <c r="Q25" s="69"/>
      <c r="R25" s="68"/>
      <c r="S25" s="67"/>
      <c r="T25" s="68"/>
      <c r="U25" s="67"/>
      <c r="V25" s="69"/>
      <c r="W25" s="67"/>
      <c r="X25" s="68"/>
      <c r="Y25" s="67"/>
      <c r="Z25" s="68"/>
      <c r="AA25" s="67"/>
      <c r="AB25" s="68"/>
    </row>
    <row r="27" spans="3:4" ht="15.75">
      <c r="C27" s="219">
        <v>1</v>
      </c>
      <c r="D27" s="166" t="s">
        <v>49</v>
      </c>
    </row>
  </sheetData>
  <printOptions/>
  <pageMargins left="0.14" right="0.14" top="1" bottom="0.34" header="0.5" footer="0.19"/>
  <pageSetup horizontalDpi="1200" verticalDpi="1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H1">
      <selection activeCell="L15" sqref="L15"/>
    </sheetView>
  </sheetViews>
  <sheetFormatPr defaultColWidth="9.140625" defaultRowHeight="12.75"/>
  <cols>
    <col min="1" max="1" width="2.140625" style="0" customWidth="1"/>
    <col min="2" max="2" width="49.8515625" style="0" customWidth="1"/>
    <col min="3" max="3" width="16.7109375" style="0" hidden="1" customWidth="1"/>
    <col min="4" max="4" width="8.7109375" style="0" hidden="1" customWidth="1"/>
    <col min="5" max="5" width="16.7109375" style="0" customWidth="1"/>
    <col min="6" max="6" width="9.28125" style="0" customWidth="1"/>
    <col min="7" max="8" width="25.28125" style="0" customWidth="1"/>
    <col min="9" max="9" width="3.421875" style="0" customWidth="1"/>
  </cols>
  <sheetData>
    <row r="1" spans="1:8" s="4" customFormat="1" ht="18" customHeight="1">
      <c r="A1" s="1" t="s">
        <v>82</v>
      </c>
      <c r="C1" s="2"/>
      <c r="D1" s="2"/>
      <c r="E1" s="2"/>
      <c r="F1" s="2"/>
      <c r="G1" s="2"/>
      <c r="H1" s="220"/>
    </row>
    <row r="2" spans="1:8" s="4" customFormat="1" ht="15.75" customHeight="1">
      <c r="A2" s="221"/>
      <c r="C2" s="2"/>
      <c r="D2" s="2"/>
      <c r="E2" s="2"/>
      <c r="F2" s="2"/>
      <c r="G2" s="2"/>
      <c r="H2" s="220" t="s">
        <v>83</v>
      </c>
    </row>
    <row r="3" spans="2:4" s="4" customFormat="1" ht="2.25" customHeight="1">
      <c r="B3" s="221"/>
      <c r="C3" s="2"/>
      <c r="D3" s="2"/>
    </row>
    <row r="4" spans="1:8" s="4" customFormat="1" ht="7.5" customHeight="1">
      <c r="A4" s="8"/>
      <c r="B4" s="71"/>
      <c r="C4" s="8"/>
      <c r="D4" s="97"/>
      <c r="E4" s="8"/>
      <c r="F4" s="97"/>
      <c r="G4" s="222"/>
      <c r="H4" s="222"/>
    </row>
    <row r="5" spans="1:8" s="4" customFormat="1" ht="15.75">
      <c r="A5" s="89"/>
      <c r="B5" s="98" t="s">
        <v>5</v>
      </c>
      <c r="C5" s="294" t="s">
        <v>65</v>
      </c>
      <c r="D5" s="295"/>
      <c r="E5" s="294" t="s">
        <v>66</v>
      </c>
      <c r="F5" s="295"/>
      <c r="G5" s="223" t="s">
        <v>84</v>
      </c>
      <c r="H5" s="223" t="s">
        <v>85</v>
      </c>
    </row>
    <row r="6" spans="1:8" s="4" customFormat="1" ht="3.75" customHeight="1">
      <c r="A6" s="22"/>
      <c r="B6" s="23"/>
      <c r="C6" s="89"/>
      <c r="D6" s="93"/>
      <c r="E6" s="89"/>
      <c r="F6" s="93"/>
      <c r="G6" s="224"/>
      <c r="H6" s="224"/>
    </row>
    <row r="7" spans="1:8" s="4" customFormat="1" ht="18" customHeight="1">
      <c r="A7" s="89"/>
      <c r="B7" s="9" t="s">
        <v>11</v>
      </c>
      <c r="C7" s="225">
        <v>8734</v>
      </c>
      <c r="D7" s="226"/>
      <c r="E7" s="225">
        <v>9334</v>
      </c>
      <c r="F7" s="226"/>
      <c r="G7" s="227">
        <v>9825</v>
      </c>
      <c r="H7" s="227">
        <v>10019</v>
      </c>
    </row>
    <row r="8" spans="1:8" s="45" customFormat="1" ht="18" customHeight="1">
      <c r="A8" s="88"/>
      <c r="B8" s="228" t="s">
        <v>86</v>
      </c>
      <c r="C8" s="229">
        <v>8308</v>
      </c>
      <c r="D8" s="230"/>
      <c r="E8" s="229">
        <v>8580</v>
      </c>
      <c r="F8" s="230"/>
      <c r="G8" s="231">
        <v>9054</v>
      </c>
      <c r="H8" s="231">
        <v>9202</v>
      </c>
    </row>
    <row r="9" spans="1:8" s="4" customFormat="1" ht="18" customHeight="1">
      <c r="A9" s="89"/>
      <c r="B9" s="93" t="s">
        <v>14</v>
      </c>
      <c r="C9" s="232">
        <v>5441</v>
      </c>
      <c r="D9" s="233">
        <v>2</v>
      </c>
      <c r="E9" s="55">
        <v>5496</v>
      </c>
      <c r="F9" s="233"/>
      <c r="G9" s="234">
        <v>5588</v>
      </c>
      <c r="H9" s="234">
        <v>5744</v>
      </c>
    </row>
    <row r="10" spans="1:8" s="4" customFormat="1" ht="18" customHeight="1">
      <c r="A10" s="89"/>
      <c r="B10" s="93" t="s">
        <v>15</v>
      </c>
      <c r="C10" s="55">
        <v>6668</v>
      </c>
      <c r="D10" s="114"/>
      <c r="E10" s="55">
        <v>7299</v>
      </c>
      <c r="F10" s="114"/>
      <c r="G10" s="234">
        <v>7798</v>
      </c>
      <c r="H10" s="234">
        <v>8202</v>
      </c>
    </row>
    <row r="11" spans="1:8" s="45" customFormat="1" ht="18" customHeight="1">
      <c r="A11" s="88"/>
      <c r="B11" s="235" t="s">
        <v>87</v>
      </c>
      <c r="C11" s="229">
        <v>10941</v>
      </c>
      <c r="D11" s="230"/>
      <c r="E11" s="229">
        <v>11257</v>
      </c>
      <c r="F11" s="230"/>
      <c r="G11" s="231">
        <v>11284</v>
      </c>
      <c r="H11" s="231">
        <v>12468</v>
      </c>
    </row>
    <row r="12" spans="1:8" s="45" customFormat="1" ht="18" customHeight="1">
      <c r="A12" s="88"/>
      <c r="B12" s="235" t="s">
        <v>88</v>
      </c>
      <c r="C12" s="229">
        <v>5694</v>
      </c>
      <c r="D12" s="230"/>
      <c r="E12" s="229">
        <v>6196</v>
      </c>
      <c r="F12" s="230"/>
      <c r="G12" s="231">
        <v>6646</v>
      </c>
      <c r="H12" s="231">
        <v>7006</v>
      </c>
    </row>
    <row r="13" spans="1:8" s="4" customFormat="1" ht="18" customHeight="1">
      <c r="A13" s="89"/>
      <c r="B13" s="93" t="s">
        <v>18</v>
      </c>
      <c r="C13" s="55">
        <v>17347</v>
      </c>
      <c r="D13" s="114"/>
      <c r="E13" s="55">
        <v>18456</v>
      </c>
      <c r="F13" s="114"/>
      <c r="G13" s="234">
        <v>19457</v>
      </c>
      <c r="H13" s="234">
        <v>22056</v>
      </c>
    </row>
    <row r="14" spans="1:8" s="4" customFormat="1" ht="18" customHeight="1">
      <c r="A14" s="89"/>
      <c r="B14" s="93" t="s">
        <v>19</v>
      </c>
      <c r="C14" s="55">
        <v>10147</v>
      </c>
      <c r="D14" s="114"/>
      <c r="E14" s="55">
        <v>11465</v>
      </c>
      <c r="F14" s="114"/>
      <c r="G14" s="234">
        <v>12042</v>
      </c>
      <c r="H14" s="234">
        <v>13047</v>
      </c>
    </row>
    <row r="15" spans="1:8" s="4" customFormat="1" ht="18" customHeight="1">
      <c r="A15" s="89"/>
      <c r="B15" s="93" t="s">
        <v>20</v>
      </c>
      <c r="C15" s="55">
        <v>11236</v>
      </c>
      <c r="D15" s="114"/>
      <c r="E15" s="55">
        <v>12032</v>
      </c>
      <c r="F15" s="114"/>
      <c r="G15" s="234">
        <v>12772</v>
      </c>
      <c r="H15" s="234">
        <v>13547</v>
      </c>
    </row>
    <row r="16" spans="1:8" s="4" customFormat="1" ht="14.25" customHeight="1">
      <c r="A16" s="89"/>
      <c r="B16" s="93" t="s">
        <v>40</v>
      </c>
      <c r="C16" s="55"/>
      <c r="D16" s="114"/>
      <c r="E16" s="55"/>
      <c r="F16" s="114"/>
      <c r="G16" s="234"/>
      <c r="H16" s="234"/>
    </row>
    <row r="17" spans="1:8" s="45" customFormat="1" ht="15.75" customHeight="1">
      <c r="A17" s="88"/>
      <c r="B17" s="235" t="s">
        <v>89</v>
      </c>
      <c r="C17" s="229">
        <v>11259</v>
      </c>
      <c r="D17" s="230"/>
      <c r="E17" s="229">
        <v>12044</v>
      </c>
      <c r="F17" s="230"/>
      <c r="G17" s="231">
        <v>12776</v>
      </c>
      <c r="H17" s="231">
        <v>13500</v>
      </c>
    </row>
    <row r="18" spans="1:8" s="4" customFormat="1" ht="16.5" customHeight="1">
      <c r="A18" s="89"/>
      <c r="B18" s="93" t="s">
        <v>24</v>
      </c>
      <c r="C18" s="232">
        <v>8402</v>
      </c>
      <c r="D18" s="236"/>
      <c r="E18" s="232">
        <v>8947</v>
      </c>
      <c r="F18" s="236"/>
      <c r="G18" s="237">
        <v>9881</v>
      </c>
      <c r="H18" s="237">
        <v>10560</v>
      </c>
    </row>
    <row r="19" spans="1:8" s="4" customFormat="1" ht="18" customHeight="1">
      <c r="A19" s="89"/>
      <c r="B19" s="93" t="s">
        <v>90</v>
      </c>
      <c r="C19" s="55">
        <v>13830</v>
      </c>
      <c r="D19" s="114"/>
      <c r="E19" s="55">
        <v>15189</v>
      </c>
      <c r="F19" s="114"/>
      <c r="G19" s="234">
        <v>15982</v>
      </c>
      <c r="H19" s="234">
        <v>16664</v>
      </c>
    </row>
    <row r="20" spans="1:8" s="4" customFormat="1" ht="18" customHeight="1">
      <c r="A20" s="89"/>
      <c r="B20" s="93" t="s">
        <v>26</v>
      </c>
      <c r="C20" s="55">
        <v>17734</v>
      </c>
      <c r="D20" s="114"/>
      <c r="E20" s="55">
        <v>20225</v>
      </c>
      <c r="F20" s="114"/>
      <c r="G20" s="234">
        <v>21478</v>
      </c>
      <c r="H20" s="234">
        <v>22692</v>
      </c>
    </row>
    <row r="21" spans="1:8" s="45" customFormat="1" ht="18" customHeight="1">
      <c r="A21" s="88"/>
      <c r="B21" s="235" t="s">
        <v>43</v>
      </c>
      <c r="C21" s="229">
        <v>16103</v>
      </c>
      <c r="D21" s="230"/>
      <c r="E21" s="229">
        <v>17357</v>
      </c>
      <c r="F21" s="230"/>
      <c r="G21" s="231">
        <v>19293</v>
      </c>
      <c r="H21" s="231">
        <v>19536</v>
      </c>
    </row>
    <row r="22" spans="1:8" s="4" customFormat="1" ht="18" customHeight="1">
      <c r="A22" s="238"/>
      <c r="B22" s="239" t="s">
        <v>28</v>
      </c>
      <c r="C22" s="55">
        <v>11690</v>
      </c>
      <c r="D22" s="114"/>
      <c r="E22" s="55">
        <v>12003</v>
      </c>
      <c r="F22" s="114"/>
      <c r="G22" s="234">
        <v>12822</v>
      </c>
      <c r="H22" s="234">
        <v>13447</v>
      </c>
    </row>
    <row r="23" spans="1:8" s="4" customFormat="1" ht="18" customHeight="1">
      <c r="A23" s="240"/>
      <c r="B23" s="93" t="s">
        <v>29</v>
      </c>
      <c r="C23" s="55">
        <v>11232</v>
      </c>
      <c r="D23" s="114"/>
      <c r="E23" s="55">
        <v>13960</v>
      </c>
      <c r="F23" s="114"/>
      <c r="G23" s="234">
        <v>15056</v>
      </c>
      <c r="H23" s="234">
        <v>14529</v>
      </c>
    </row>
    <row r="24" spans="1:8" s="4" customFormat="1" ht="13.5" customHeight="1">
      <c r="A24" s="241"/>
      <c r="B24" s="93" t="s">
        <v>30</v>
      </c>
      <c r="C24" s="55"/>
      <c r="D24" s="114"/>
      <c r="E24" s="55"/>
      <c r="F24" s="114"/>
      <c r="G24" s="234"/>
      <c r="H24" s="234"/>
    </row>
    <row r="25" spans="1:8" s="4" customFormat="1" ht="18" customHeight="1">
      <c r="A25" s="89"/>
      <c r="B25" s="93" t="s">
        <v>31</v>
      </c>
      <c r="C25" s="55">
        <v>12524</v>
      </c>
      <c r="D25" s="114"/>
      <c r="E25" s="55">
        <v>13993</v>
      </c>
      <c r="F25" s="114"/>
      <c r="G25" s="234">
        <v>15096</v>
      </c>
      <c r="H25" s="234">
        <v>16216</v>
      </c>
    </row>
    <row r="26" spans="1:8" s="4" customFormat="1" ht="18" customHeight="1">
      <c r="A26" s="89"/>
      <c r="B26" s="93" t="s">
        <v>32</v>
      </c>
      <c r="C26" s="55">
        <v>12812</v>
      </c>
      <c r="D26" s="114"/>
      <c r="E26" s="55">
        <v>15134</v>
      </c>
      <c r="F26" s="114"/>
      <c r="G26" s="234">
        <v>16628</v>
      </c>
      <c r="H26" s="234">
        <v>17283</v>
      </c>
    </row>
    <row r="27" spans="1:8" s="4" customFormat="1" ht="18" customHeight="1">
      <c r="A27" s="89"/>
      <c r="B27" s="93" t="s">
        <v>33</v>
      </c>
      <c r="C27" s="55">
        <v>9839</v>
      </c>
      <c r="D27" s="114"/>
      <c r="E27" s="55">
        <v>10846</v>
      </c>
      <c r="F27" s="114"/>
      <c r="G27" s="234">
        <v>11427</v>
      </c>
      <c r="H27" s="234">
        <v>12298</v>
      </c>
    </row>
    <row r="28" spans="1:8" s="4" customFormat="1" ht="4.5" customHeight="1">
      <c r="A28" s="22"/>
      <c r="B28" s="94"/>
      <c r="C28" s="55"/>
      <c r="D28" s="114"/>
      <c r="E28" s="55"/>
      <c r="F28" s="114"/>
      <c r="G28" s="234"/>
      <c r="H28" s="234"/>
    </row>
    <row r="29" spans="1:8" s="4" customFormat="1" ht="3" customHeight="1">
      <c r="A29" s="8"/>
      <c r="B29" s="97"/>
      <c r="C29" s="242"/>
      <c r="D29" s="243"/>
      <c r="E29" s="242"/>
      <c r="F29" s="243"/>
      <c r="G29" s="244"/>
      <c r="H29" s="244"/>
    </row>
    <row r="30" spans="1:8" s="4" customFormat="1" ht="18" customHeight="1">
      <c r="A30" s="89"/>
      <c r="B30" s="98" t="s">
        <v>34</v>
      </c>
      <c r="C30" s="55">
        <v>9826</v>
      </c>
      <c r="D30" s="114"/>
      <c r="E30" s="55">
        <v>11103</v>
      </c>
      <c r="F30" s="114"/>
      <c r="G30" s="234">
        <v>12061</v>
      </c>
      <c r="H30" s="234">
        <v>12625</v>
      </c>
    </row>
    <row r="31" spans="1:8" s="4" customFormat="1" ht="2.25" customHeight="1">
      <c r="A31" s="22"/>
      <c r="B31" s="245"/>
      <c r="C31" s="246"/>
      <c r="D31" s="115"/>
      <c r="E31" s="246"/>
      <c r="F31" s="115"/>
      <c r="G31" s="247"/>
      <c r="H31" s="247">
        <v>12638</v>
      </c>
    </row>
    <row r="32" spans="7:8" s="4" customFormat="1" ht="5.25" customHeight="1">
      <c r="G32" s="248"/>
      <c r="H32" s="248"/>
    </row>
    <row r="33" spans="1:4" s="4" customFormat="1" ht="15" customHeight="1">
      <c r="A33" s="249" t="s">
        <v>48</v>
      </c>
      <c r="B33" s="250" t="s">
        <v>91</v>
      </c>
      <c r="C33" s="251"/>
      <c r="D33" s="251"/>
    </row>
    <row r="34" spans="1:4" s="4" customFormat="1" ht="12.75" customHeight="1">
      <c r="A34" s="252">
        <v>2</v>
      </c>
      <c r="B34" s="253" t="s">
        <v>92</v>
      </c>
      <c r="C34" s="250"/>
      <c r="D34" s="250"/>
    </row>
    <row r="35" spans="1:2" s="4" customFormat="1" ht="14.25" customHeight="1">
      <c r="A35" s="82">
        <v>3</v>
      </c>
      <c r="B35" s="4" t="s">
        <v>49</v>
      </c>
    </row>
    <row r="36" s="4" customFormat="1" ht="15.75">
      <c r="A36" s="82"/>
    </row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</sheetData>
  <mergeCells count="2">
    <mergeCell ref="C5:D5"/>
    <mergeCell ref="E5:F5"/>
  </mergeCells>
  <printOptions horizontalCentered="1"/>
  <pageMargins left="0.16" right="0.21" top="1" bottom="0.34" header="0.5" footer="0.21"/>
  <pageSetup horizontalDpi="1200" verticalDpi="1200" orientation="landscape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N13" sqref="N13"/>
    </sheetView>
  </sheetViews>
  <sheetFormatPr defaultColWidth="9.140625" defaultRowHeight="12.75"/>
  <cols>
    <col min="1" max="1" width="2.00390625" style="0" customWidth="1"/>
    <col min="2" max="2" width="5.8515625" style="0" customWidth="1"/>
    <col min="3" max="3" width="50.28125" style="0" customWidth="1"/>
    <col min="4" max="4" width="15.7109375" style="0" hidden="1" customWidth="1"/>
    <col min="5" max="5" width="7.57421875" style="0" hidden="1" customWidth="1"/>
    <col min="6" max="6" width="15.7109375" style="0" customWidth="1"/>
    <col min="7" max="7" width="7.57421875" style="0" customWidth="1"/>
    <col min="8" max="8" width="15.7109375" style="0" customWidth="1"/>
    <col min="9" max="9" width="6.7109375" style="0" customWidth="1"/>
    <col min="10" max="10" width="15.7109375" style="0" customWidth="1"/>
    <col min="11" max="11" width="6.7109375" style="0" customWidth="1"/>
  </cols>
  <sheetData>
    <row r="1" spans="1:6" s="4" customFormat="1" ht="19.5" customHeight="1">
      <c r="A1" s="1" t="s">
        <v>93</v>
      </c>
      <c r="C1" s="254"/>
      <c r="D1" s="255"/>
      <c r="F1" s="255"/>
    </row>
    <row r="2" spans="2:10" s="4" customFormat="1" ht="15.75" customHeight="1">
      <c r="B2" s="221"/>
      <c r="C2" s="254"/>
      <c r="D2" s="255"/>
      <c r="F2" s="255"/>
      <c r="J2" s="256" t="s">
        <v>83</v>
      </c>
    </row>
    <row r="3" spans="1:11" s="4" customFormat="1" ht="7.5" customHeight="1">
      <c r="A3" s="8"/>
      <c r="B3" s="71"/>
      <c r="C3" s="97"/>
      <c r="D3" s="8"/>
      <c r="E3" s="97"/>
      <c r="F3" s="8"/>
      <c r="G3" s="97"/>
      <c r="H3" s="8"/>
      <c r="I3" s="97"/>
      <c r="J3" s="8"/>
      <c r="K3" s="97"/>
    </row>
    <row r="4" spans="1:11" s="4" customFormat="1" ht="15.75">
      <c r="A4" s="89"/>
      <c r="B4" s="2"/>
      <c r="C4" s="98" t="s">
        <v>5</v>
      </c>
      <c r="D4" s="296" t="s">
        <v>65</v>
      </c>
      <c r="E4" s="297"/>
      <c r="F4" s="296" t="s">
        <v>66</v>
      </c>
      <c r="G4" s="297"/>
      <c r="H4" s="296" t="s">
        <v>94</v>
      </c>
      <c r="I4" s="298"/>
      <c r="J4" s="296" t="s">
        <v>85</v>
      </c>
      <c r="K4" s="298"/>
    </row>
    <row r="5" spans="1:11" s="4" customFormat="1" ht="7.5" customHeight="1">
      <c r="A5" s="22"/>
      <c r="B5" s="6"/>
      <c r="C5" s="23"/>
      <c r="D5" s="89"/>
      <c r="E5" s="93"/>
      <c r="F5" s="89"/>
      <c r="G5" s="93"/>
      <c r="H5" s="89"/>
      <c r="I5" s="93"/>
      <c r="J5" s="89"/>
      <c r="K5" s="93"/>
    </row>
    <row r="6" spans="1:12" s="4" customFormat="1" ht="30" customHeight="1">
      <c r="A6" s="89"/>
      <c r="B6" s="257" t="s">
        <v>15</v>
      </c>
      <c r="C6" s="258"/>
      <c r="D6" s="259">
        <v>5694</v>
      </c>
      <c r="E6" s="97"/>
      <c r="F6" s="259">
        <v>6196</v>
      </c>
      <c r="G6" s="97"/>
      <c r="H6" s="259">
        <v>6656</v>
      </c>
      <c r="I6" s="97"/>
      <c r="J6" s="259">
        <v>7002</v>
      </c>
      <c r="K6" s="97"/>
      <c r="L6" s="260"/>
    </row>
    <row r="7" spans="1:11" s="4" customFormat="1" ht="8.25" customHeight="1">
      <c r="A7" s="89"/>
      <c r="B7" s="261"/>
      <c r="C7" s="186"/>
      <c r="D7" s="262"/>
      <c r="E7" s="93"/>
      <c r="F7" s="262"/>
      <c r="G7" s="93"/>
      <c r="H7" s="262"/>
      <c r="I7" s="93"/>
      <c r="J7" s="262"/>
      <c r="K7" s="93"/>
    </row>
    <row r="8" spans="1:12" s="4" customFormat="1" ht="24.75" customHeight="1">
      <c r="A8" s="89"/>
      <c r="B8" s="2"/>
      <c r="C8" s="186" t="s">
        <v>70</v>
      </c>
      <c r="D8" s="262">
        <v>5782</v>
      </c>
      <c r="E8" s="93"/>
      <c r="F8" s="262">
        <v>5779</v>
      </c>
      <c r="G8" s="93"/>
      <c r="H8" s="262">
        <v>6048</v>
      </c>
      <c r="I8" s="93"/>
      <c r="J8" s="262">
        <v>6319</v>
      </c>
      <c r="K8" s="93"/>
      <c r="L8" s="260"/>
    </row>
    <row r="9" spans="1:12" s="4" customFormat="1" ht="24.75" customHeight="1">
      <c r="A9" s="89"/>
      <c r="B9" s="2"/>
      <c r="C9" s="186" t="s">
        <v>71</v>
      </c>
      <c r="D9" s="262">
        <v>6945</v>
      </c>
      <c r="E9" s="93"/>
      <c r="F9" s="262">
        <v>7341</v>
      </c>
      <c r="G9" s="93"/>
      <c r="H9" s="262">
        <v>8122</v>
      </c>
      <c r="I9" s="93"/>
      <c r="J9" s="262">
        <v>8068</v>
      </c>
      <c r="K9" s="93"/>
      <c r="L9" s="260"/>
    </row>
    <row r="10" spans="1:12" s="4" customFormat="1" ht="24.75" customHeight="1">
      <c r="A10" s="89"/>
      <c r="B10" s="2"/>
      <c r="C10" s="186" t="s">
        <v>72</v>
      </c>
      <c r="D10" s="262">
        <v>5449</v>
      </c>
      <c r="E10" s="93"/>
      <c r="F10" s="262">
        <v>5969</v>
      </c>
      <c r="G10" s="93"/>
      <c r="H10" s="262">
        <v>6428</v>
      </c>
      <c r="I10" s="93"/>
      <c r="J10" s="262">
        <v>6817</v>
      </c>
      <c r="K10" s="93"/>
      <c r="L10" s="260"/>
    </row>
    <row r="11" spans="1:12" s="4" customFormat="1" ht="24.75" customHeight="1">
      <c r="A11" s="89"/>
      <c r="B11" s="2"/>
      <c r="C11" s="186" t="s">
        <v>73</v>
      </c>
      <c r="D11" s="262">
        <v>6731</v>
      </c>
      <c r="E11" s="93"/>
      <c r="F11" s="262">
        <v>6677</v>
      </c>
      <c r="G11" s="93"/>
      <c r="H11" s="262">
        <v>7069</v>
      </c>
      <c r="I11" s="93"/>
      <c r="J11" s="262">
        <v>7082</v>
      </c>
      <c r="K11" s="93"/>
      <c r="L11" s="260"/>
    </row>
    <row r="12" spans="1:12" s="4" customFormat="1" ht="24.75" customHeight="1">
      <c r="A12" s="89"/>
      <c r="B12" s="2"/>
      <c r="C12" s="186" t="s">
        <v>74</v>
      </c>
      <c r="D12" s="262">
        <v>5707</v>
      </c>
      <c r="E12" s="93"/>
      <c r="F12" s="262">
        <v>6133</v>
      </c>
      <c r="G12" s="93"/>
      <c r="H12" s="262">
        <v>6578</v>
      </c>
      <c r="I12" s="93"/>
      <c r="J12" s="262">
        <v>6908</v>
      </c>
      <c r="K12" s="93"/>
      <c r="L12" s="260"/>
    </row>
    <row r="13" spans="1:12" s="4" customFormat="1" ht="24.75" customHeight="1">
      <c r="A13" s="89"/>
      <c r="B13" s="2"/>
      <c r="C13" s="263" t="s">
        <v>95</v>
      </c>
      <c r="D13" s="262">
        <v>7163</v>
      </c>
      <c r="E13" s="93"/>
      <c r="F13" s="262">
        <v>7531</v>
      </c>
      <c r="G13" s="93"/>
      <c r="H13" s="262">
        <v>7614</v>
      </c>
      <c r="I13" s="93"/>
      <c r="J13" s="262">
        <v>8127</v>
      </c>
      <c r="K13" s="93"/>
      <c r="L13" s="260"/>
    </row>
    <row r="14" spans="1:12" s="4" customFormat="1" ht="24.75" customHeight="1">
      <c r="A14" s="89"/>
      <c r="B14" s="2"/>
      <c r="C14" s="186" t="s">
        <v>76</v>
      </c>
      <c r="D14" s="262">
        <v>6414</v>
      </c>
      <c r="E14" s="93"/>
      <c r="F14" s="262">
        <v>6478</v>
      </c>
      <c r="G14" s="93"/>
      <c r="H14" s="262">
        <v>7505</v>
      </c>
      <c r="I14" s="93"/>
      <c r="J14" s="262">
        <v>7608</v>
      </c>
      <c r="K14" s="93"/>
      <c r="L14" s="260"/>
    </row>
    <row r="15" spans="1:12" s="4" customFormat="1" ht="24.75" customHeight="1">
      <c r="A15" s="89"/>
      <c r="B15" s="2"/>
      <c r="C15" s="186" t="s">
        <v>77</v>
      </c>
      <c r="D15" s="262">
        <v>6741</v>
      </c>
      <c r="E15" s="93"/>
      <c r="F15" s="262">
        <v>6942</v>
      </c>
      <c r="G15" s="93"/>
      <c r="H15" s="262">
        <v>7279</v>
      </c>
      <c r="I15" s="93"/>
      <c r="J15" s="262">
        <v>7333</v>
      </c>
      <c r="K15" s="93"/>
      <c r="L15" s="260"/>
    </row>
    <row r="16" spans="1:12" s="4" customFormat="1" ht="24.75" customHeight="1">
      <c r="A16" s="89"/>
      <c r="B16" s="2"/>
      <c r="C16" s="186" t="s">
        <v>78</v>
      </c>
      <c r="D16" s="262">
        <v>7546</v>
      </c>
      <c r="E16" s="93"/>
      <c r="F16" s="262">
        <v>7799</v>
      </c>
      <c r="G16" s="93"/>
      <c r="H16" s="262">
        <v>8724</v>
      </c>
      <c r="I16" s="93"/>
      <c r="J16" s="262">
        <v>9706</v>
      </c>
      <c r="K16" s="93"/>
      <c r="L16" s="260"/>
    </row>
    <row r="17" spans="1:12" s="4" customFormat="1" ht="24.75" customHeight="1">
      <c r="A17" s="89"/>
      <c r="B17" s="2"/>
      <c r="C17" s="186" t="s">
        <v>79</v>
      </c>
      <c r="D17" s="264">
        <v>6930</v>
      </c>
      <c r="E17" s="93"/>
      <c r="F17" s="264">
        <v>7758</v>
      </c>
      <c r="G17" s="93"/>
      <c r="H17" s="264">
        <v>8950</v>
      </c>
      <c r="I17" s="93"/>
      <c r="J17" s="264">
        <v>9296</v>
      </c>
      <c r="K17" s="93"/>
      <c r="L17" s="260"/>
    </row>
    <row r="18" spans="1:12" s="4" customFormat="1" ht="24.75" customHeight="1">
      <c r="A18" s="89"/>
      <c r="B18" s="2"/>
      <c r="C18" s="186" t="s">
        <v>80</v>
      </c>
      <c r="D18" s="262">
        <v>4845</v>
      </c>
      <c r="E18" s="93"/>
      <c r="F18" s="262">
        <v>5470</v>
      </c>
      <c r="G18" s="93"/>
      <c r="H18" s="262">
        <v>6151</v>
      </c>
      <c r="I18" s="93"/>
      <c r="J18" s="262">
        <v>7049</v>
      </c>
      <c r="K18" s="93"/>
      <c r="L18" s="260"/>
    </row>
    <row r="19" spans="1:12" s="4" customFormat="1" ht="32.25" customHeight="1">
      <c r="A19" s="22"/>
      <c r="B19" s="257" t="s">
        <v>81</v>
      </c>
      <c r="C19" s="186"/>
      <c r="D19" s="265">
        <v>8440</v>
      </c>
      <c r="E19" s="94"/>
      <c r="F19" s="265">
        <v>9798</v>
      </c>
      <c r="G19" s="94"/>
      <c r="H19" s="265">
        <v>10622</v>
      </c>
      <c r="I19" s="94"/>
      <c r="J19" s="265">
        <v>12806</v>
      </c>
      <c r="K19" s="94"/>
      <c r="L19" s="260"/>
    </row>
    <row r="20" spans="1:12" s="4" customFormat="1" ht="25.5" customHeight="1">
      <c r="A20" s="89"/>
      <c r="B20" s="71"/>
      <c r="C20" s="266" t="s">
        <v>34</v>
      </c>
      <c r="D20" s="267">
        <v>5733</v>
      </c>
      <c r="E20" s="97"/>
      <c r="F20" s="267">
        <v>6236</v>
      </c>
      <c r="G20" s="97"/>
      <c r="H20" s="267">
        <v>6722</v>
      </c>
      <c r="I20" s="97"/>
      <c r="J20" s="267">
        <v>7099</v>
      </c>
      <c r="K20" s="97"/>
      <c r="L20" s="260"/>
    </row>
    <row r="21" spans="1:11" s="4" customFormat="1" ht="7.5" customHeight="1">
      <c r="A21" s="22"/>
      <c r="B21" s="6"/>
      <c r="C21" s="268"/>
      <c r="D21" s="22"/>
      <c r="E21" s="94"/>
      <c r="F21" s="22"/>
      <c r="G21" s="94"/>
      <c r="H21" s="22"/>
      <c r="I21" s="94"/>
      <c r="J21" s="22"/>
      <c r="K21" s="94"/>
    </row>
    <row r="22" s="4" customFormat="1" ht="12" customHeight="1"/>
    <row r="23" spans="2:6" s="4" customFormat="1" ht="15.75">
      <c r="B23" s="269" t="s">
        <v>96</v>
      </c>
      <c r="D23" s="2"/>
      <c r="F23" s="2"/>
    </row>
    <row r="24" spans="2:6" s="4" customFormat="1" ht="15.75">
      <c r="B24" s="82" t="s">
        <v>97</v>
      </c>
      <c r="D24" s="2"/>
      <c r="F24" s="2"/>
    </row>
    <row r="25" spans="3:6" s="4" customFormat="1" ht="14.25" customHeight="1">
      <c r="C25" s="270"/>
      <c r="D25" s="255"/>
      <c r="F25" s="255"/>
    </row>
    <row r="26" spans="2:10" s="4" customFormat="1" ht="4.5" customHeight="1">
      <c r="B26"/>
      <c r="C26"/>
      <c r="D26"/>
      <c r="E26"/>
      <c r="F26"/>
      <c r="G26"/>
      <c r="H26"/>
      <c r="J26"/>
    </row>
    <row r="27" spans="2:10" s="4" customFormat="1" ht="12.75">
      <c r="B27"/>
      <c r="C27"/>
      <c r="D27"/>
      <c r="E27"/>
      <c r="F27"/>
      <c r="G27"/>
      <c r="H27"/>
      <c r="J27"/>
    </row>
    <row r="28" spans="2:10" s="4" customFormat="1" ht="4.5" customHeight="1">
      <c r="B28"/>
      <c r="C28"/>
      <c r="D28"/>
      <c r="E28"/>
      <c r="F28"/>
      <c r="G28"/>
      <c r="H28"/>
      <c r="J28"/>
    </row>
    <row r="29" spans="2:10" s="4" customFormat="1" ht="18.75" customHeight="1">
      <c r="B29"/>
      <c r="C29"/>
      <c r="D29"/>
      <c r="E29"/>
      <c r="F29"/>
      <c r="G29"/>
      <c r="H29"/>
      <c r="J29"/>
    </row>
    <row r="30" spans="2:10" s="4" customFormat="1" ht="18.75" customHeight="1">
      <c r="B30"/>
      <c r="C30"/>
      <c r="D30"/>
      <c r="E30"/>
      <c r="F30"/>
      <c r="G30"/>
      <c r="H30"/>
      <c r="J30"/>
    </row>
    <row r="31" spans="2:10" s="4" customFormat="1" ht="18.75" customHeight="1">
      <c r="B31"/>
      <c r="C31"/>
      <c r="D31"/>
      <c r="E31"/>
      <c r="F31"/>
      <c r="G31"/>
      <c r="H31"/>
      <c r="J31"/>
    </row>
    <row r="32" spans="2:10" s="4" customFormat="1" ht="18.75" customHeight="1">
      <c r="B32"/>
      <c r="C32"/>
      <c r="D32"/>
      <c r="E32"/>
      <c r="F32"/>
      <c r="G32"/>
      <c r="H32"/>
      <c r="J32"/>
    </row>
    <row r="33" spans="2:10" s="4" customFormat="1" ht="18.75" customHeight="1">
      <c r="B33"/>
      <c r="C33"/>
      <c r="D33"/>
      <c r="E33"/>
      <c r="F33"/>
      <c r="G33"/>
      <c r="H33"/>
      <c r="J33"/>
    </row>
    <row r="34" spans="2:10" s="4" customFormat="1" ht="18.75" customHeight="1">
      <c r="B34"/>
      <c r="C34"/>
      <c r="D34"/>
      <c r="E34"/>
      <c r="F34"/>
      <c r="G34"/>
      <c r="H34"/>
      <c r="J34"/>
    </row>
    <row r="35" spans="2:10" s="4" customFormat="1" ht="18.75" customHeight="1">
      <c r="B35"/>
      <c r="C35"/>
      <c r="D35"/>
      <c r="E35"/>
      <c r="F35"/>
      <c r="G35"/>
      <c r="H35"/>
      <c r="J35"/>
    </row>
    <row r="36" spans="2:10" s="4" customFormat="1" ht="18.75" customHeight="1">
      <c r="B36"/>
      <c r="C36"/>
      <c r="D36"/>
      <c r="E36"/>
      <c r="F36"/>
      <c r="G36"/>
      <c r="H36"/>
      <c r="J36"/>
    </row>
    <row r="37" spans="2:10" s="4" customFormat="1" ht="13.5" customHeight="1">
      <c r="B37"/>
      <c r="C37"/>
      <c r="D37"/>
      <c r="E37"/>
      <c r="F37"/>
      <c r="G37"/>
      <c r="H37"/>
      <c r="J37"/>
    </row>
    <row r="38" spans="2:10" s="4" customFormat="1" ht="18.75" customHeight="1">
      <c r="B38"/>
      <c r="C38"/>
      <c r="D38"/>
      <c r="E38"/>
      <c r="F38"/>
      <c r="G38"/>
      <c r="H38"/>
      <c r="J38"/>
    </row>
    <row r="39" spans="2:10" s="4" customFormat="1" ht="18.75" customHeight="1">
      <c r="B39"/>
      <c r="C39"/>
      <c r="D39"/>
      <c r="E39"/>
      <c r="F39"/>
      <c r="G39"/>
      <c r="H39"/>
      <c r="J39"/>
    </row>
    <row r="40" spans="2:10" s="4" customFormat="1" ht="18.75" customHeight="1">
      <c r="B40"/>
      <c r="C40"/>
      <c r="D40"/>
      <c r="E40"/>
      <c r="F40"/>
      <c r="G40"/>
      <c r="H40"/>
      <c r="J40"/>
    </row>
    <row r="41" spans="2:10" s="4" customFormat="1" ht="7.5" customHeight="1">
      <c r="B41"/>
      <c r="C41"/>
      <c r="D41"/>
      <c r="E41"/>
      <c r="F41"/>
      <c r="G41"/>
      <c r="H41"/>
      <c r="J41"/>
    </row>
    <row r="42" spans="2:10" s="4" customFormat="1" ht="7.5" customHeight="1">
      <c r="B42"/>
      <c r="C42"/>
      <c r="D42"/>
      <c r="E42"/>
      <c r="F42"/>
      <c r="G42"/>
      <c r="H42"/>
      <c r="J42"/>
    </row>
    <row r="43" spans="2:10" s="4" customFormat="1" ht="18" customHeight="1">
      <c r="B43"/>
      <c r="C43"/>
      <c r="D43"/>
      <c r="E43"/>
      <c r="F43"/>
      <c r="G43"/>
      <c r="H43"/>
      <c r="J43"/>
    </row>
    <row r="44" spans="2:10" s="4" customFormat="1" ht="7.5" customHeight="1">
      <c r="B44"/>
      <c r="C44"/>
      <c r="D44"/>
      <c r="E44"/>
      <c r="F44"/>
      <c r="G44"/>
      <c r="H44"/>
      <c r="J44"/>
    </row>
    <row r="45" spans="2:10" s="4" customFormat="1" ht="12.75">
      <c r="B45"/>
      <c r="C45"/>
      <c r="D45"/>
      <c r="E45"/>
      <c r="F45"/>
      <c r="G45"/>
      <c r="H45"/>
      <c r="J45"/>
    </row>
    <row r="46" spans="2:10" s="4" customFormat="1" ht="12.75">
      <c r="B46"/>
      <c r="C46"/>
      <c r="D46"/>
      <c r="E46"/>
      <c r="F46"/>
      <c r="G46"/>
      <c r="H46"/>
      <c r="J46"/>
    </row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</sheetData>
  <mergeCells count="4">
    <mergeCell ref="D4:E4"/>
    <mergeCell ref="F4:G4"/>
    <mergeCell ref="H4:I4"/>
    <mergeCell ref="J4:K4"/>
  </mergeCells>
  <printOptions horizontalCentered="1"/>
  <pageMargins left="0.29" right="0.17" top="1" bottom="0.62" header="0.5" footer="0.5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Madina</dc:creator>
  <cp:keywords/>
  <dc:description/>
  <cp:lastModifiedBy>Madina</cp:lastModifiedBy>
  <cp:lastPrinted>2006-09-20T10:26:19Z</cp:lastPrinted>
  <dcterms:created xsi:type="dcterms:W3CDTF">2006-09-20T07:07:03Z</dcterms:created>
  <dcterms:modified xsi:type="dcterms:W3CDTF">2006-09-22T11:23:18Z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e1c6cbd9-ec4a-4a80-bbff-ea8883d735c3</vt:lpwstr>
  </property>
  <property fmtid="{D5CDD505-2E9C-101B-9397-08002B2CF9AE}" pid="5" name="PublishingVariationRelationshipLinkField">
    <vt:lpwstr>http://statsmauritius.gov.mu/Relationships List/2203_.000, /Relationships List/2203_.000</vt:lpwstr>
  </property>
</Properties>
</file>