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8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9.xml" ContentType="application/vnd.openxmlformats-officedocument.drawing+xml"/>
  <Override PartName="/xl/worksheets/sheet25.xml" ContentType="application/vnd.openxmlformats-officedocument.spreadsheetml.worksheet+xml"/>
  <Override PartName="/xl/drawings/drawing10.xml" ContentType="application/vnd.openxmlformats-officedocument.drawing+xml"/>
  <Override PartName="/xl/worksheets/sheet26.xml" ContentType="application/vnd.openxmlformats-officedocument.spreadsheetml.worksheet+xml"/>
  <Override PartName="/xl/drawings/drawing11.xml" ContentType="application/vnd.openxmlformats-officedocument.drawing+xml"/>
  <Override PartName="/xl/worksheets/sheet27.xml" ContentType="application/vnd.openxmlformats-officedocument.spreadsheetml.worksheet+xml"/>
  <Override PartName="/xl/drawings/drawing12.xml" ContentType="application/vnd.openxmlformats-officedocument.drawing+xml"/>
  <Override PartName="/xl/worksheets/sheet2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80" windowHeight="5925" tabRatio="923" activeTab="2"/>
  </bookViews>
  <sheets>
    <sheet name="content" sheetId="1" r:id="rId1"/>
    <sheet name="T1.1" sheetId="2" r:id="rId2"/>
    <sheet name="T2.1-2" sheetId="3" r:id="rId3"/>
    <sheet name="T3.1-2" sheetId="4" r:id="rId4"/>
    <sheet name="Tab 3.3-4" sheetId="5" r:id="rId5"/>
    <sheet name="T 4.1-2" sheetId="6" r:id="rId6"/>
    <sheet name="T 4.3-4" sheetId="7" r:id="rId7"/>
    <sheet name="T 4.5-6" sheetId="8" r:id="rId8"/>
    <sheet name="T 4.7 " sheetId="9" r:id="rId9"/>
    <sheet name="T 4.8 " sheetId="10" r:id="rId10"/>
    <sheet name="T4.9-10" sheetId="11" r:id="rId11"/>
    <sheet name="T4.11" sheetId="12" r:id="rId12"/>
    <sheet name="T4.12" sheetId="13" r:id="rId13"/>
    <sheet name="T 5.1-2" sheetId="14" r:id="rId14"/>
    <sheet name="T5.3-4" sheetId="15" r:id="rId15"/>
    <sheet name="T5.5-6" sheetId="16" r:id="rId16"/>
    <sheet name="T5.7" sheetId="17" r:id="rId17"/>
    <sheet name="T 5.8 " sheetId="18" r:id="rId18"/>
    <sheet name="T 5.9 -10" sheetId="19" r:id="rId19"/>
    <sheet name="T 5.11 -12" sheetId="20" r:id="rId20"/>
    <sheet name=" T 5.13-14 " sheetId="21" r:id="rId21"/>
    <sheet name="T 5.15" sheetId="22" r:id="rId22"/>
    <sheet name=" T 5.16" sheetId="23" r:id="rId23"/>
    <sheet name="T5.17-18" sheetId="24" r:id="rId24"/>
    <sheet name="T5.19  " sheetId="25" r:id="rId25"/>
    <sheet name="T5.20 " sheetId="26" r:id="rId26"/>
    <sheet name="T6.1(a) -2007" sheetId="27" r:id="rId27"/>
    <sheet name="T6.1(b) - 2008" sheetId="28" r:id="rId28"/>
  </sheets>
  <externalReferences>
    <externalReference r:id="rId31"/>
  </externalReferences>
  <definedNames>
    <definedName name="_xlnm.Print_Area" localSheetId="18">'T 5.9 -10'!$A$1:$I$36</definedName>
    <definedName name="_xlnm.Print_Area" localSheetId="25">'T5.20 '!$A$1:$AB$30</definedName>
  </definedNames>
  <calcPr fullCalcOnLoad="1"/>
</workbook>
</file>

<file path=xl/sharedStrings.xml><?xml version="1.0" encoding="utf-8"?>
<sst xmlns="http://schemas.openxmlformats.org/spreadsheetml/2006/main" count="1654" uniqueCount="453">
  <si>
    <t>(Rs million)</t>
  </si>
  <si>
    <t xml:space="preserve">Total Government Expenditure </t>
  </si>
  <si>
    <t>Island of Mauritius</t>
  </si>
  <si>
    <t xml:space="preserve">  Ministry of Education &amp; HR</t>
  </si>
  <si>
    <t>Island of Rodrigues</t>
  </si>
  <si>
    <t>Total</t>
  </si>
  <si>
    <t xml:space="preserve">Amount          </t>
  </si>
  <si>
    <t>%</t>
  </si>
  <si>
    <t xml:space="preserve">         Pre-primary</t>
  </si>
  <si>
    <t xml:space="preserve">         Primary</t>
  </si>
  <si>
    <t xml:space="preserve">         Secondary</t>
  </si>
  <si>
    <t xml:space="preserve">         Technical &amp; Vocational</t>
  </si>
  <si>
    <t xml:space="preserve">         Pre-Primary</t>
  </si>
  <si>
    <t xml:space="preserve">    -</t>
  </si>
  <si>
    <t xml:space="preserve">     Total</t>
  </si>
  <si>
    <r>
      <t>\4</t>
    </r>
    <r>
      <rPr>
        <sz val="11"/>
        <rFont val="Times New Roman"/>
        <family val="1"/>
      </rPr>
      <t xml:space="preserve">  Expenditure on Education under Ministry of Rodrigues Vote</t>
    </r>
  </si>
  <si>
    <t>District</t>
  </si>
  <si>
    <t xml:space="preserve">Type of Administration </t>
  </si>
  <si>
    <t>Municipal/</t>
  </si>
  <si>
    <t xml:space="preserve"> Private</t>
  </si>
  <si>
    <t>V.Council</t>
  </si>
  <si>
    <t xml:space="preserve"> Port Louis</t>
  </si>
  <si>
    <t xml:space="preserve"> Pamplemousses</t>
  </si>
  <si>
    <t xml:space="preserve"> Riv. du Rempart</t>
  </si>
  <si>
    <t xml:space="preserve"> Flacq</t>
  </si>
  <si>
    <t xml:space="preserve"> Grand Port</t>
  </si>
  <si>
    <t xml:space="preserve"> Savanne</t>
  </si>
  <si>
    <t xml:space="preserve"> Plaines Wilhems</t>
  </si>
  <si>
    <t xml:space="preserve"> Moka</t>
  </si>
  <si>
    <t xml:space="preserve"> Black River</t>
  </si>
  <si>
    <t xml:space="preserve"> Island of  Mauritius</t>
  </si>
  <si>
    <t xml:space="preserve"> Island of  Rodrigues</t>
  </si>
  <si>
    <t xml:space="preserve"> Republic of  Mauritius</t>
  </si>
  <si>
    <t>Zone</t>
  </si>
  <si>
    <t xml:space="preserve">  1 - Port Louis / North</t>
  </si>
  <si>
    <t xml:space="preserve">  2 - B.Bassin-R.Hill / East</t>
  </si>
  <si>
    <t xml:space="preserve">  3 - Curepipe / South</t>
  </si>
  <si>
    <t xml:space="preserve">  4 - Q.Bornes / Vacoas-Phoenix /West</t>
  </si>
  <si>
    <t xml:space="preserve">  5 - Rodrigues</t>
  </si>
  <si>
    <t>-</t>
  </si>
  <si>
    <t xml:space="preserve">    All Zones</t>
  </si>
  <si>
    <t xml:space="preserve">Enrolment </t>
  </si>
  <si>
    <t xml:space="preserve">Personnel </t>
  </si>
  <si>
    <t>Male</t>
  </si>
  <si>
    <t>Female</t>
  </si>
  <si>
    <t>Teaching</t>
  </si>
  <si>
    <t>Non - Teaching</t>
  </si>
  <si>
    <t xml:space="preserve"> Riviere du Rempart</t>
  </si>
  <si>
    <t xml:space="preserve"> Island of Mauritius</t>
  </si>
  <si>
    <t xml:space="preserve"> Island of Rodrigues</t>
  </si>
  <si>
    <t xml:space="preserve"> Republic of Mauritius</t>
  </si>
  <si>
    <t xml:space="preserve">  4 - Q.Bornes / Vacoas-Phoenix / West</t>
  </si>
  <si>
    <t xml:space="preserve">  All Zones</t>
  </si>
  <si>
    <t>Type of Administration</t>
  </si>
  <si>
    <t>Government</t>
  </si>
  <si>
    <t>Private</t>
  </si>
  <si>
    <t>Aided</t>
  </si>
  <si>
    <t>Non - Aided</t>
  </si>
  <si>
    <t>No.</t>
  </si>
  <si>
    <t xml:space="preserve">  Port Louis</t>
  </si>
  <si>
    <t xml:space="preserve">  Pamplemousses</t>
  </si>
  <si>
    <t xml:space="preserve"> -</t>
  </si>
  <si>
    <t xml:space="preserve">  Riviere du Rempart</t>
  </si>
  <si>
    <t xml:space="preserve">  Flacq</t>
  </si>
  <si>
    <t xml:space="preserve">  Grand Port</t>
  </si>
  <si>
    <t xml:space="preserve">  Savanne</t>
  </si>
  <si>
    <t xml:space="preserve">  Plaines Wilhems</t>
  </si>
  <si>
    <t xml:space="preserve">  Moka</t>
  </si>
  <si>
    <t xml:space="preserve">  Black River</t>
  </si>
  <si>
    <t xml:space="preserve">  Island of Mauritius</t>
  </si>
  <si>
    <t xml:space="preserve">  Island of Rodrigues</t>
  </si>
  <si>
    <t xml:space="preserve">  Republic  of  Mauritius</t>
  </si>
  <si>
    <t xml:space="preserve"> 1 - Port Louis / North</t>
  </si>
  <si>
    <t xml:space="preserve"> 2 - B.Bassin-R.Hill / East</t>
  </si>
  <si>
    <t xml:space="preserve"> 3 - Curepipe / South</t>
  </si>
  <si>
    <t xml:space="preserve"> 4 - Q.Bornes / Vacoas-Phoenix / West</t>
  </si>
  <si>
    <t xml:space="preserve">  All  Zones</t>
  </si>
  <si>
    <t xml:space="preserve">  ¹ Excluding schools with partial stream </t>
  </si>
  <si>
    <t>All schools</t>
  </si>
  <si>
    <t>Government schools</t>
  </si>
  <si>
    <t xml:space="preserve">Private schools </t>
  </si>
  <si>
    <t>Non-aided</t>
  </si>
  <si>
    <t>Private schools</t>
  </si>
  <si>
    <t xml:space="preserve">    ¹ including enrolment in schools with a partial stream </t>
  </si>
  <si>
    <r>
      <t>Aided</t>
    </r>
    <r>
      <rPr>
        <vertAlign val="superscript"/>
        <sz val="11"/>
        <rFont val="Times New Roman"/>
        <family val="1"/>
      </rPr>
      <t xml:space="preserve"> </t>
    </r>
  </si>
  <si>
    <t>Grade/Standard</t>
  </si>
  <si>
    <t>All Grades</t>
  </si>
  <si>
    <t>I</t>
  </si>
  <si>
    <t>II</t>
  </si>
  <si>
    <t>III</t>
  </si>
  <si>
    <t>IV</t>
  </si>
  <si>
    <t>V</t>
  </si>
  <si>
    <t>VI</t>
  </si>
  <si>
    <t>VI (repeaters)</t>
  </si>
  <si>
    <t xml:space="preserve">  Republic of  Mauritius</t>
  </si>
  <si>
    <t xml:space="preserve"> 2 -B.Bassin-R.Hill / East</t>
  </si>
  <si>
    <t xml:space="preserve"> 3 -Curepipe / South</t>
  </si>
  <si>
    <t xml:space="preserve"> 4 -Q.Bornes/Vacoas-Phoenix/West</t>
  </si>
  <si>
    <t xml:space="preserve"> 5 -Rodrigues</t>
  </si>
  <si>
    <t xml:space="preserve"> All  Zones</t>
  </si>
  <si>
    <t xml:space="preserve">  ¹ including enrolment in schools with a partial stream </t>
  </si>
  <si>
    <t>Grade</t>
  </si>
  <si>
    <t xml:space="preserve"> </t>
  </si>
  <si>
    <t>Repeaters</t>
  </si>
  <si>
    <r>
      <t xml:space="preserve">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pupils attending schools with a partial stream </t>
    </r>
  </si>
  <si>
    <t>Republic of Mauritius</t>
  </si>
  <si>
    <t xml:space="preserve"> All schools</t>
  </si>
  <si>
    <t>VI Repeaters</t>
  </si>
  <si>
    <t xml:space="preserve"> Government schools</t>
  </si>
  <si>
    <t xml:space="preserve"> Private schools</t>
  </si>
  <si>
    <t xml:space="preserve">¹ including enrolment in schools with a partial stream </t>
  </si>
  <si>
    <t xml:space="preserve"> Head Teacher</t>
  </si>
  <si>
    <t xml:space="preserve"> Total</t>
  </si>
  <si>
    <t xml:space="preserve"> Hindi</t>
  </si>
  <si>
    <t xml:space="preserve"> Urdu</t>
  </si>
  <si>
    <t xml:space="preserve"> Tamil</t>
  </si>
  <si>
    <t xml:space="preserve"> Telugu</t>
  </si>
  <si>
    <t xml:space="preserve"> Marathi</t>
  </si>
  <si>
    <t xml:space="preserve"> Arabic</t>
  </si>
  <si>
    <t xml:space="preserve"> School clerk</t>
  </si>
  <si>
    <t xml:space="preserve"> Caretaker</t>
  </si>
  <si>
    <t xml:space="preserve"> Labourer</t>
  </si>
  <si>
    <t xml:space="preserve"> Other</t>
  </si>
  <si>
    <t xml:space="preserve"> TOTAL</t>
  </si>
  <si>
    <t xml:space="preserve">  Riv. du Rempart</t>
  </si>
  <si>
    <t xml:space="preserve">  Island of  Mauritius</t>
  </si>
  <si>
    <t xml:space="preserve">  Island of  Rodrigues</t>
  </si>
  <si>
    <t xml:space="preserve">      -</t>
  </si>
  <si>
    <t xml:space="preserve">  * including physical education instructors</t>
  </si>
  <si>
    <t>School Candidates only</t>
  </si>
  <si>
    <t>No. Examined</t>
  </si>
  <si>
    <t>No.        Passed</t>
  </si>
  <si>
    <t>%             Passed</t>
  </si>
  <si>
    <t xml:space="preserve">Island of Rodrigues </t>
  </si>
  <si>
    <t xml:space="preserve">    Source: Mauritius Examinations Syndicate </t>
  </si>
  <si>
    <t>School Candidates</t>
  </si>
  <si>
    <t xml:space="preserve">         First Sitting</t>
  </si>
  <si>
    <t xml:space="preserve">         Second Sitting</t>
  </si>
  <si>
    <t xml:space="preserve">          Total</t>
  </si>
  <si>
    <t>Private Candidates</t>
  </si>
  <si>
    <t>School &amp; Private Candidates</t>
  </si>
  <si>
    <t xml:space="preserve"> Type of Administration</t>
  </si>
  <si>
    <t xml:space="preserve">Private </t>
  </si>
  <si>
    <t xml:space="preserve">      Company (REDCO)</t>
  </si>
  <si>
    <r>
      <t>All Schools</t>
    </r>
    <r>
      <rPr>
        <vertAlign val="superscript"/>
        <sz val="11"/>
        <rFont val="Times New Roman"/>
        <family val="1"/>
      </rPr>
      <t xml:space="preserve"> 1</t>
    </r>
  </si>
  <si>
    <r>
      <t xml:space="preserve">State </t>
    </r>
    <r>
      <rPr>
        <vertAlign val="superscript"/>
        <sz val="11"/>
        <rFont val="Times New Roman"/>
        <family val="1"/>
      </rPr>
      <t>2</t>
    </r>
  </si>
  <si>
    <r>
      <t xml:space="preserve">Aided </t>
    </r>
    <r>
      <rPr>
        <vertAlign val="superscript"/>
        <sz val="11"/>
        <rFont val="Times New Roman"/>
        <family val="1"/>
      </rPr>
      <t>3</t>
    </r>
  </si>
  <si>
    <r>
      <t xml:space="preserve">  </t>
    </r>
    <r>
      <rPr>
        <vertAlign val="superscript"/>
        <sz val="10"/>
        <rFont val="Times New Roman"/>
        <family val="1"/>
      </rPr>
      <t xml:space="preserve"> 3</t>
    </r>
    <r>
      <rPr>
        <sz val="10"/>
        <rFont val="Times New Roman"/>
        <family val="1"/>
      </rPr>
      <t xml:space="preserve">  includes Mauritius Educational Development Company (MEDCO) / Rodrigues Educational Development</t>
    </r>
  </si>
  <si>
    <r>
      <t xml:space="preserve">State schools </t>
    </r>
    <r>
      <rPr>
        <vertAlign val="superscript"/>
        <sz val="11"/>
        <rFont val="Times New Roman"/>
        <family val="1"/>
      </rPr>
      <t xml:space="preserve">1 </t>
    </r>
  </si>
  <si>
    <r>
      <t>Aided</t>
    </r>
    <r>
      <rPr>
        <vertAlign val="superscript"/>
        <sz val="11"/>
        <rFont val="Times New Roman"/>
        <family val="1"/>
      </rPr>
      <t xml:space="preserve"> 2</t>
    </r>
  </si>
  <si>
    <t>All</t>
  </si>
  <si>
    <t xml:space="preserve">VI Lower </t>
  </si>
  <si>
    <t xml:space="preserve">VI Upper </t>
  </si>
  <si>
    <t>Grades</t>
  </si>
  <si>
    <t xml:space="preserve">  I</t>
  </si>
  <si>
    <t xml:space="preserve"> II</t>
  </si>
  <si>
    <t xml:space="preserve"> V</t>
  </si>
  <si>
    <t>Lower</t>
  </si>
  <si>
    <t xml:space="preserve"> VI</t>
  </si>
  <si>
    <t>Upper</t>
  </si>
  <si>
    <t xml:space="preserve">   All schools</t>
  </si>
  <si>
    <t xml:space="preserve">  II</t>
  </si>
  <si>
    <t xml:space="preserve">  III</t>
  </si>
  <si>
    <t xml:space="preserve">  IV</t>
  </si>
  <si>
    <t xml:space="preserve">  V</t>
  </si>
  <si>
    <t xml:space="preserve">  VI </t>
  </si>
  <si>
    <t xml:space="preserve">  Total</t>
  </si>
  <si>
    <t xml:space="preserve">   State Schools</t>
  </si>
  <si>
    <t xml:space="preserve">   Private Schools</t>
  </si>
  <si>
    <t xml:space="preserve">State </t>
  </si>
  <si>
    <t>State</t>
  </si>
  <si>
    <r>
      <t xml:space="preserve">Private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</t>
    </r>
  </si>
  <si>
    <r>
      <t>Private</t>
    </r>
    <r>
      <rPr>
        <vertAlign val="superscript"/>
        <sz val="11"/>
        <rFont val="Times New Roman"/>
        <family val="1"/>
      </rPr>
      <t xml:space="preserve"> 2</t>
    </r>
    <r>
      <rPr>
        <sz val="11"/>
        <rFont val="Times New Roman"/>
        <family val="1"/>
      </rPr>
      <t xml:space="preserve"> </t>
    </r>
  </si>
  <si>
    <r>
      <t xml:space="preserve">    2</t>
    </r>
    <r>
      <rPr>
        <sz val="10"/>
        <rFont val="Times New Roman"/>
        <family val="1"/>
      </rPr>
      <t xml:space="preserve"> includes Mauritius Educational Development Company (MEDCO) / Rodrigues Educational Development Company (REDCO)                                     </t>
    </r>
  </si>
  <si>
    <t>State schools</t>
  </si>
  <si>
    <r>
      <t xml:space="preserve">Private schools </t>
    </r>
    <r>
      <rPr>
        <vertAlign val="superscript"/>
        <sz val="11"/>
        <rFont val="Times New Roman"/>
        <family val="1"/>
      </rPr>
      <t>1</t>
    </r>
  </si>
  <si>
    <t>Enrolment</t>
  </si>
  <si>
    <t>Year I</t>
  </si>
  <si>
    <t>Year II</t>
  </si>
  <si>
    <t>Year III</t>
  </si>
  <si>
    <t>Pamplemousses</t>
  </si>
  <si>
    <t>Riviere du Rempart</t>
  </si>
  <si>
    <t>Flacq</t>
  </si>
  <si>
    <t>Grand Port</t>
  </si>
  <si>
    <t>Savanne</t>
  </si>
  <si>
    <t>P.Wilhems</t>
  </si>
  <si>
    <t>Moka</t>
  </si>
  <si>
    <t>Black River</t>
  </si>
  <si>
    <t>2- B.Bassin-R.Hill / East</t>
  </si>
  <si>
    <t>3- Curepipe / South</t>
  </si>
  <si>
    <t>4- Q.Bornes  / Vacoas-Phoenix / West</t>
  </si>
  <si>
    <t>5- Rodrigues</t>
  </si>
  <si>
    <t>All  Zones</t>
  </si>
  <si>
    <t>Academic</t>
  </si>
  <si>
    <t>Pre-vocational</t>
  </si>
  <si>
    <t>Academic &amp; Pre-vocational</t>
  </si>
  <si>
    <t>Port Louis</t>
  </si>
  <si>
    <t>Plaines Wilhems</t>
  </si>
  <si>
    <t>Republic of  Mauritius</t>
  </si>
  <si>
    <t>School candidates only</t>
  </si>
  <si>
    <t>Type of school administration                                       and sex</t>
  </si>
  <si>
    <t>No.  Examined</t>
  </si>
  <si>
    <t>No.      Passed</t>
  </si>
  <si>
    <t xml:space="preserve"> %        Passed </t>
  </si>
  <si>
    <t>No.                      Examined</t>
  </si>
  <si>
    <t>All Schools</t>
  </si>
  <si>
    <t>State Schools</t>
  </si>
  <si>
    <t>Private Schools</t>
  </si>
  <si>
    <t xml:space="preserve"> Source: Mauritius Examinations Syndicate </t>
  </si>
  <si>
    <r>
      <t xml:space="preserve">Island of Rodrigues 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</si>
  <si>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 xml:space="preserve"> All candidates in Rodrigues are from REDCO and private schools.</t>
    </r>
  </si>
  <si>
    <t>Type of school administration                      and sex</t>
  </si>
  <si>
    <t>No.     Passed</t>
  </si>
  <si>
    <t>%                  Passed</t>
  </si>
  <si>
    <t>%       Passed</t>
  </si>
  <si>
    <t xml:space="preserve">Source: Mauritius Examinations Syndicate </t>
  </si>
  <si>
    <r>
      <t xml:space="preserve">Island of Rodrigues </t>
    </r>
    <r>
      <rPr>
        <b/>
        <vertAlign val="superscript"/>
        <sz val="11"/>
        <rFont val="Times New Roman"/>
        <family val="1"/>
      </rPr>
      <t>1</t>
    </r>
  </si>
  <si>
    <r>
      <t xml:space="preserve">                                                           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All candidates in Rodrigues are from REDCO and private schools.</t>
    </r>
  </si>
  <si>
    <r>
      <t xml:space="preserve">1 </t>
    </r>
    <r>
      <rPr>
        <sz val="10"/>
        <rFont val="Times New Roman"/>
        <family val="1"/>
      </rPr>
      <t>All candidates in Rodrigues are from REDCO and private schools</t>
    </r>
  </si>
  <si>
    <t>Field of study</t>
  </si>
  <si>
    <t>Distance Education/ Private Providers</t>
  </si>
  <si>
    <t>Overseas</t>
  </si>
  <si>
    <t>UTM</t>
  </si>
  <si>
    <t>MIE</t>
  </si>
  <si>
    <t>MGI</t>
  </si>
  <si>
    <t>MCA</t>
  </si>
  <si>
    <t>Polytechnics</t>
  </si>
  <si>
    <t>IVTB</t>
  </si>
  <si>
    <t>MIH</t>
  </si>
  <si>
    <t>Administration / Management</t>
  </si>
  <si>
    <t>Agriculture</t>
  </si>
  <si>
    <t>Architecture</t>
  </si>
  <si>
    <t>Arts</t>
  </si>
  <si>
    <t>Banking / Finance</t>
  </si>
  <si>
    <t>Business / Commerce / Marketing</t>
  </si>
  <si>
    <t>Communication</t>
  </si>
  <si>
    <t>Dentistry</t>
  </si>
  <si>
    <t>Economics</t>
  </si>
  <si>
    <t>Education</t>
  </si>
  <si>
    <t>Engineering</t>
  </si>
  <si>
    <t>Humanities</t>
  </si>
  <si>
    <t>Information Technology</t>
  </si>
  <si>
    <t>Languages</t>
  </si>
  <si>
    <t>Law</t>
  </si>
  <si>
    <t xml:space="preserve">Mathematics </t>
  </si>
  <si>
    <t>Pharmacy</t>
  </si>
  <si>
    <t>Police Studies</t>
  </si>
  <si>
    <t>Religious Studies</t>
  </si>
  <si>
    <t>Research (MPhil / PhD)</t>
  </si>
  <si>
    <t>Science</t>
  </si>
  <si>
    <t>Social Science</t>
  </si>
  <si>
    <t>Textile</t>
  </si>
  <si>
    <t>Travel / Hotel / Tourism</t>
  </si>
  <si>
    <t xml:space="preserve">Others </t>
  </si>
  <si>
    <r>
      <t>UOM</t>
    </r>
    <r>
      <rPr>
        <vertAlign val="superscript"/>
        <sz val="10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</si>
  <si>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 xml:space="preserve"> Excludes enrolment on joint MIE &amp; MGI Programmes</t>
    </r>
  </si>
  <si>
    <r>
      <t xml:space="preserve">   </t>
    </r>
    <r>
      <rPr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includes Mahatma Gandhi Institute, Rabindranath Tagore Secondary School and  Mahatma Gandhi State Schools</t>
    </r>
  </si>
  <si>
    <t>(PFIs)</t>
  </si>
  <si>
    <t>Publicly - Funded Institutions (PFIs)</t>
  </si>
  <si>
    <t xml:space="preserve"> 1 -Port Louis / North</t>
  </si>
  <si>
    <t xml:space="preserve">  4 - Q.Bornes/ Vacoas-Phoenix/  West</t>
  </si>
  <si>
    <t>1- Port Louis / North</t>
  </si>
  <si>
    <r>
      <t xml:space="preserve">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includes Mauritius Educational Development Company (MEDCO) / Rodrigues Educational Development Company (REDCO)</t>
    </r>
  </si>
  <si>
    <r>
      <t>2008/2009</t>
    </r>
    <r>
      <rPr>
        <vertAlign val="superscript"/>
        <sz val="11"/>
        <rFont val="Times New Roman"/>
        <family val="1"/>
      </rPr>
      <t>\1</t>
    </r>
  </si>
  <si>
    <t>of which expenditure by:</t>
  </si>
  <si>
    <t>Ministry of Education &amp; Human Resources</t>
  </si>
  <si>
    <t xml:space="preserve">         Tertiary Education</t>
  </si>
  <si>
    <r>
      <t xml:space="preserve">Special Education Programmes </t>
    </r>
    <r>
      <rPr>
        <i/>
        <vertAlign val="superscript"/>
        <sz val="11"/>
        <rFont val="Times New Roman"/>
        <family val="1"/>
      </rPr>
      <t>2</t>
    </r>
  </si>
  <si>
    <r>
      <t xml:space="preserve">         Other </t>
    </r>
    <r>
      <rPr>
        <i/>
        <vertAlign val="superscript"/>
        <sz val="11"/>
        <rFont val="Times New Roman"/>
        <family val="1"/>
      </rPr>
      <t>3</t>
    </r>
  </si>
  <si>
    <r>
      <t xml:space="preserve">Island of Rodrigues </t>
    </r>
    <r>
      <rPr>
        <b/>
        <vertAlign val="superscript"/>
        <sz val="12"/>
        <rFont val="Times New Roman"/>
        <family val="1"/>
      </rPr>
      <t>4</t>
    </r>
  </si>
  <si>
    <t>Secondary</t>
  </si>
  <si>
    <t>Other</t>
  </si>
  <si>
    <r>
      <t>Other Ministries</t>
    </r>
    <r>
      <rPr>
        <b/>
        <vertAlign val="superscript"/>
        <sz val="12"/>
        <rFont val="Times New Roman"/>
        <family val="1"/>
      </rPr>
      <t xml:space="preserve"> 5</t>
    </r>
  </si>
  <si>
    <r>
      <t>\2</t>
    </r>
    <r>
      <rPr>
        <sz val="11"/>
        <rFont val="Times New Roman"/>
        <family val="1"/>
      </rPr>
      <t xml:space="preserve">  Includes MIE, Conservatoire, HRDC, NPCC &amp; MCA         </t>
    </r>
  </si>
  <si>
    <r>
      <t>\3</t>
    </r>
    <r>
      <rPr>
        <sz val="11"/>
        <rFont val="Times New Roman"/>
        <family val="1"/>
      </rPr>
      <t xml:space="preserve">  Includes MQA, Rajiv Gandhi Science Centre &amp; World Hindi Secretariat         </t>
    </r>
  </si>
  <si>
    <r>
      <t xml:space="preserve">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includes Mauritius Educational Development Company (MEDCO) / Rodrigues Educational Development Company (REDCO) </t>
    </r>
  </si>
  <si>
    <t>Psychology</t>
  </si>
  <si>
    <t>Health Sciences</t>
  </si>
  <si>
    <t>Accounting</t>
  </si>
  <si>
    <t>Research (Master)</t>
  </si>
  <si>
    <t>Year of                      study</t>
  </si>
  <si>
    <t>Medicine</t>
  </si>
  <si>
    <t xml:space="preserve"> Source: Participation in Tertiary Education 2007, Tertiary Education Commisson (TEC) Report</t>
  </si>
  <si>
    <t>Page</t>
  </si>
  <si>
    <t>1.1</t>
  </si>
  <si>
    <t>EXPENDITURE ON EDUCATION</t>
  </si>
  <si>
    <t>PRE-PRIMARY EDUCATION</t>
  </si>
  <si>
    <t>3.1</t>
  </si>
  <si>
    <t>3.2</t>
  </si>
  <si>
    <t>3.3</t>
  </si>
  <si>
    <t>3.4</t>
  </si>
  <si>
    <t>PRIMARY EDUCATION</t>
  </si>
  <si>
    <t>4.1</t>
  </si>
  <si>
    <t>4.4</t>
  </si>
  <si>
    <t>4.5</t>
  </si>
  <si>
    <t>4.6</t>
  </si>
  <si>
    <t>4.10</t>
  </si>
  <si>
    <t>SECONDARY EDUCATION - ACADEMIC STREAM AND PRE-VOCATIONAL</t>
  </si>
  <si>
    <t>5.1</t>
  </si>
  <si>
    <t>5.4</t>
  </si>
  <si>
    <t>5.5</t>
  </si>
  <si>
    <t>5.6</t>
  </si>
  <si>
    <t xml:space="preserve">Enrolment in secondary schools (academic stream) by type of adminstration, grade and sex, </t>
  </si>
  <si>
    <t>5.10</t>
  </si>
  <si>
    <t>5.13</t>
  </si>
  <si>
    <t>5.14</t>
  </si>
  <si>
    <t>5.15</t>
  </si>
  <si>
    <t>5.16</t>
  </si>
  <si>
    <t xml:space="preserve">Enrolment in schools offering pre-vocational education by type of administration, year study and sex, </t>
  </si>
  <si>
    <t>5.17</t>
  </si>
  <si>
    <t>5.18</t>
  </si>
  <si>
    <t>5.19</t>
  </si>
  <si>
    <t>5.20</t>
  </si>
  <si>
    <t>POST SECONDARY EDUCATION</t>
  </si>
  <si>
    <t>6.1(a)</t>
  </si>
  <si>
    <t xml:space="preserve">Total number of students enrolled in Tertiary Education, both locally and overseas, by field of study </t>
  </si>
  <si>
    <t>6.1(b)</t>
  </si>
  <si>
    <t>as at December 2007</t>
  </si>
  <si>
    <t>Publicly Funded Institutions (PFIs)</t>
  </si>
  <si>
    <t>Accountancy</t>
  </si>
  <si>
    <t>Medecine</t>
  </si>
  <si>
    <t xml:space="preserve">   -</t>
  </si>
  <si>
    <t>Pre-primary</t>
  </si>
  <si>
    <t>Number of schools</t>
  </si>
  <si>
    <t>Number of teachers</t>
  </si>
  <si>
    <t>Pupil/Teacher Ratio</t>
  </si>
  <si>
    <t>Primary</t>
  </si>
  <si>
    <t>n.a</t>
  </si>
  <si>
    <t>Secondary (Academic and Pre-Vocational)</t>
  </si>
  <si>
    <t>Expenditure</t>
  </si>
  <si>
    <t>Total Government Expenditure on Education as a % of GDP at market price</t>
  </si>
  <si>
    <t>Total Government Expenditure on Education as a % of Total Government Expenditure</t>
  </si>
  <si>
    <t>n.a: Not available</t>
  </si>
  <si>
    <t>Table 5.16 - Enrolment in schools offering pre-vocational education by type of  administration,</t>
  </si>
  <si>
    <t xml:space="preserve">Table 5.15 - Enrolment in schools offering pre-vocational education by year of study and sex, </t>
  </si>
  <si>
    <t xml:space="preserve">Table 5.8 - Enrolment in secondary schools (academic stream) by type of administration, grade </t>
  </si>
  <si>
    <t>LIST OF TABLES</t>
  </si>
  <si>
    <t>EDUCATION INDICATORS</t>
  </si>
  <si>
    <t>Gross Enrolment Ratio (%)</t>
  </si>
  <si>
    <t>Certificate of Primary Education Pass Rates</t>
  </si>
  <si>
    <t>Cambridge School Certificate Pass Rates</t>
  </si>
  <si>
    <t>Cambridge Higher School Certificate Pass Rates</t>
  </si>
  <si>
    <t xml:space="preserve">Total Government Expenditure (Rs million) </t>
  </si>
  <si>
    <t xml:space="preserve">Total Government Expenditure on Education                            (Rs million) </t>
  </si>
  <si>
    <r>
      <t xml:space="preserve">RC/HA </t>
    </r>
    <r>
      <rPr>
        <vertAlign val="superscript"/>
        <sz val="12"/>
        <rFont val="Times New Roman"/>
        <family val="1"/>
      </rPr>
      <t>2</t>
    </r>
  </si>
  <si>
    <r>
      <t>2</t>
    </r>
    <r>
      <rPr>
        <sz val="10"/>
        <rFont val="Times New Roman"/>
        <family val="1"/>
      </rPr>
      <t xml:space="preserve">  Roman Catholic and Hindu Aided Schools</t>
    </r>
  </si>
  <si>
    <t xml:space="preserve">Cambridge School Certificate (SC) examination results by type of school administration and sex, </t>
  </si>
  <si>
    <t xml:space="preserve">Cambridge Higher School Certificate (HSC) examination results by type of school administration  </t>
  </si>
  <si>
    <t xml:space="preserve">Enrolment in schools offering pre-vocational education by district, type of administration </t>
  </si>
  <si>
    <r>
      <t xml:space="preserve">   </t>
    </r>
    <r>
      <rPr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includes Mahatma Gandhi Institute, Rabindranath Tagore Secondary School and 4 Mahatma Gandhi State Schools</t>
    </r>
  </si>
  <si>
    <r>
      <t>Tertiary</t>
    </r>
    <r>
      <rPr>
        <b/>
        <vertAlign val="superscript"/>
        <sz val="11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</si>
  <si>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Source: Tertiary Education Commission</t>
    </r>
  </si>
  <si>
    <t>Transition Rate (Primary to Secondary)</t>
  </si>
  <si>
    <t>Table 1.1 - Main Education Indicators and data, Republic of Mauritius, 2005 - 2009</t>
  </si>
  <si>
    <t>Table 5.1 -  Distribution of  secondary schools by district and type of administration, 2009</t>
  </si>
  <si>
    <t>Table 5.2 - Distribution of secondary schools by zone and type of administration, 2009</t>
  </si>
  <si>
    <r>
      <t xml:space="preserve">   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54 of these schools offer academic education only and 125 both academic and pre-vocational education</t>
    </r>
  </si>
  <si>
    <t>Table 5.3 -  Enrolment in secondary schools (academic stream) by district, type of administration and sex, 2009</t>
  </si>
  <si>
    <t>Table 5.4 -  Enrolment in secondary schools (academic stream) by zone, type of administration and sex, 2009</t>
  </si>
  <si>
    <t>Table 5.5 - Enrolment in secondary schools (academic stream) by district and grade, 2009</t>
  </si>
  <si>
    <t>Table 5.6 - Enrolment in secondary schools (academic stream) by zone and grade, 2009</t>
  </si>
  <si>
    <t>Table 5.7 - Enrolment in secondary schools (academic stream) by grade and sex, 2007 - 2009</t>
  </si>
  <si>
    <t>Table 5.18 - Teaching staff in secondary schools (academic &amp; pre-vocational streams) by zone and sex, 2009</t>
  </si>
  <si>
    <t>Table 5.19 - Cambridge School Certificate (SC) examination results by type of school administration and sex, 2006 - 2008</t>
  </si>
  <si>
    <t>Table 6.1(a) - Total number of students enrolled in Tertiary Education, both locally and overseas, by field of study as at December 2007</t>
  </si>
  <si>
    <t>Table 6.1(b) - Total number of students enrolled in Tertiary Education, both locally and overseas, by field of study as at December 2008</t>
  </si>
  <si>
    <t>Total Government  Expenditure, Republic of Mauritius, 2008/2009 and 2009/2010</t>
  </si>
  <si>
    <t>Main Education indicators and data, Republic of Mauritius, 2005 - 2009</t>
  </si>
  <si>
    <t>Government Expenditure on Education by sector, 2008/2009 and 2009/2010</t>
  </si>
  <si>
    <t>Distribution of pre-primary schools by district and type of administration, 2009</t>
  </si>
  <si>
    <t>Distribution of pre-primary schools by zone and type of administration, 2009</t>
  </si>
  <si>
    <t>Enrolment and personnel in pre-primary schools by district and sex, 2009</t>
  </si>
  <si>
    <t>Enrolment and personnel in pre-primary schools by zone and sex, 2009</t>
  </si>
  <si>
    <t>Distribution of primary schools by district and type of administration, 2009</t>
  </si>
  <si>
    <t>Distribution of primary schools by zone and type of administration, 2009</t>
  </si>
  <si>
    <t>Enrolment in primary schools by district, type of administration and sex , 2009</t>
  </si>
  <si>
    <t>Enrolment in primary schools by zone, type of administration and sex , 2009</t>
  </si>
  <si>
    <t>Enrolment in primary schools by district and grade, 2009</t>
  </si>
  <si>
    <t>Enrolment in primary schools by zone and grade, 2009</t>
  </si>
  <si>
    <t>Enrolment in primary schools by grade and sex, 2007 - 2009</t>
  </si>
  <si>
    <t>Personnel in primary schools by district and occupational status, 2009</t>
  </si>
  <si>
    <t>Personnel in primary schools by zone and occupational status, 2009</t>
  </si>
  <si>
    <t>Certificate of Primary Education (CPE) examination results by  sex, 2006 - 2008</t>
  </si>
  <si>
    <t>Performance at Certificate of Primary Education (CPE) examination by sex and sitting, 2008</t>
  </si>
  <si>
    <t>Distribution of secondary schools by zone and type of administration, 2009</t>
  </si>
  <si>
    <t>Enrolment in secondary schools (academic stream) by district, type of adminstration and sex, 2009</t>
  </si>
  <si>
    <t>Enrolment in secondary schools (academic stream) by zone, type of adminstration and sex, 2009</t>
  </si>
  <si>
    <t>Enrolment in secondary schools (academic stream) by district and grade, 2009</t>
  </si>
  <si>
    <t>Enrolment in secondary schools (academic stream) by zone and grade, 2009</t>
  </si>
  <si>
    <t>Enrolment in secondary schools (academic stream) by grade and sex, 2007 - 2009</t>
  </si>
  <si>
    <t>2007 - 2009, Republic of Mauritius</t>
  </si>
  <si>
    <t>Distribution of schools offering pre-vocational education by district and type of adminstration, 2009</t>
  </si>
  <si>
    <t>Distribution of schools offering pre-vocational education by zone and type of administration, 2009</t>
  </si>
  <si>
    <t>and sex, 2009</t>
  </si>
  <si>
    <t>Enrolment in schools offering pre-vocational education by zone, type of administration and sex, 2009</t>
  </si>
  <si>
    <t>Enrolment in schools offering pre-vocational education by district and year of study, 2009</t>
  </si>
  <si>
    <t>Enrolment in schools offering pre-vocational education by zone and year of study, 2009</t>
  </si>
  <si>
    <t>Enrolment in schools offering pre-vocational education by year of study and sex, 2007 - 2009</t>
  </si>
  <si>
    <t>Teaching staff in secondary (academic &amp; pre-vocational streams) by district and sex, 2009</t>
  </si>
  <si>
    <t>Teaching staff in secondary schools (academic &amp; pre-vocational streams) by zone and sex, 2009</t>
  </si>
  <si>
    <t xml:space="preserve">and sex, 2006 - 2008 </t>
  </si>
  <si>
    <t>as at December 2008</t>
  </si>
  <si>
    <t>Distribution of secondary schools by district and type of adminstration, 2009</t>
  </si>
  <si>
    <t>2006 - 2008</t>
  </si>
  <si>
    <t xml:space="preserve"> Source: Participation in Tertiary Education 2008, Tertiary Education Commisson (TEC) Report</t>
  </si>
  <si>
    <t xml:space="preserve">Enrolment in primary schools by type of administration, grade and sex, 2007 - 2009, </t>
  </si>
  <si>
    <r>
      <t>Table 4.1 -  Distribution of  primary schools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by district and type of administration, 2009</t>
    </r>
  </si>
  <si>
    <r>
      <t xml:space="preserve">Table 4.3 - Enrolment in primary schools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by district, type of administration and sex, 2009</t>
    </r>
  </si>
  <si>
    <r>
      <t xml:space="preserve">Table 4.4 -  Enrolment in primary schools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by zone, type of administration and sex, 2009</t>
    </r>
  </si>
  <si>
    <r>
      <t>Table 4.5 -  Enrolment in  primary schools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by district and grade, 2009</t>
    </r>
  </si>
  <si>
    <r>
      <t>Table 4.7  -  Enrolment in primary schools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by grade and sex, 2007 - 2009</t>
    </r>
  </si>
  <si>
    <t>Table 4.8 - Enrolment in primary schools¹ by type of administration, grade and sex, 2007 - 2009</t>
  </si>
  <si>
    <r>
      <t>Table 4.2 -  Distribution of  primary schools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by zone and type of administration, 2009</t>
    </r>
  </si>
  <si>
    <t xml:space="preserve"> private</t>
  </si>
  <si>
    <r>
      <t>Table 4.6 -  Enrolment in  primary schools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by zone and grade, 2009</t>
    </r>
  </si>
  <si>
    <t>Table 4.11 - Certificate of Primary Education (CPE) examination results by sex, 2006 - 2008</t>
  </si>
  <si>
    <t>Table 4.12 - Performance at Certificate of Primary Education (CPE) examination by sex and sitting, 2008</t>
  </si>
  <si>
    <t>Table 5.9  -  Distribution of schools offering pre-vocational education by district and type of administration, 2009</t>
  </si>
  <si>
    <t>Table 5.10  -  Distribution of schools offering pre-vocational education by zone and type of administration, 2009</t>
  </si>
  <si>
    <t>Table 5.11 -  Enrolment in schools offering pre-vocational education by district, type of administration and sex, 2009</t>
  </si>
  <si>
    <t>Table 5.13 - Enrolment in schools offering pre-vocational education by district and year of study, 2009</t>
  </si>
  <si>
    <t>Table 5.14 - Enrolment  in schools offering pre-vocational education by zone and year of study, 2009</t>
  </si>
  <si>
    <t xml:space="preserve">                    2007 - 2009</t>
  </si>
  <si>
    <t xml:space="preserve">                  year of study and sex, 2007 - 2009</t>
  </si>
  <si>
    <t>Table 5.12 -  Enrolment in schools offering pre-vocational education by zone, type of administration and sex, 2009</t>
  </si>
  <si>
    <t xml:space="preserve">                  and sex, 2007 - 2009 </t>
  </si>
  <si>
    <t>Table 5.20 - Cambridge Higher School Certificate (HSC) examination results by type of school administration and sex, 2006 - 2008</t>
  </si>
  <si>
    <t>Table 5.17 - Teaching staff in secondary schools (academic &amp; pre-vocational streams) by district and sex, 2009</t>
  </si>
  <si>
    <t>Mres</t>
  </si>
  <si>
    <t xml:space="preserve">Counselling </t>
  </si>
  <si>
    <t xml:space="preserve">Psychology </t>
  </si>
  <si>
    <t xml:space="preserve">Religious Studies </t>
  </si>
  <si>
    <t xml:space="preserve">Health Sciences </t>
  </si>
  <si>
    <t>Fisheries Studies</t>
  </si>
  <si>
    <t xml:space="preserve">          -</t>
  </si>
  <si>
    <t>Table 4.9 - Personnel in primary schools by district and occupational status, 2009</t>
  </si>
  <si>
    <t>Table 4.10 - Personnel in primary schools by zone and occupational status, 2009</t>
  </si>
  <si>
    <t>No. Passed</t>
  </si>
  <si>
    <t>%   Passed</t>
  </si>
  <si>
    <t>Table 3.1 - Distribution of pre-primary schools  by district and type of administration, 2009</t>
  </si>
  <si>
    <r>
      <t>ECCEA</t>
    </r>
    <r>
      <rPr>
        <vertAlign val="superscript"/>
        <sz val="12"/>
        <rFont val="Times New Roman"/>
        <family val="1"/>
      </rPr>
      <t>1</t>
    </r>
  </si>
  <si>
    <r>
      <t>ECCEA</t>
    </r>
    <r>
      <rPr>
        <vertAlign val="superscript"/>
        <sz val="11"/>
        <rFont val="Times New Roman"/>
        <family val="1"/>
      </rPr>
      <t>1</t>
    </r>
  </si>
  <si>
    <t>Table 3.3 - Enrolment and personnel in pre-primary schools by district and sex, 2009</t>
  </si>
  <si>
    <r>
      <t>1</t>
    </r>
    <r>
      <rPr>
        <sz val="10"/>
        <rFont val="Times New Roman"/>
        <family val="1"/>
      </rPr>
      <t xml:space="preserve">  Early Childhood Care and Education Authority (Ex Pre-School Trust Fund) </t>
    </r>
  </si>
  <si>
    <t>Table 3.2 - Distribution of pre-primary schools  by zone and type of administration, 2009</t>
  </si>
  <si>
    <t>Table 3.4 - Enrolment and personnel in pre-primary schools  by zone and sex, 2009</t>
  </si>
  <si>
    <r>
      <t xml:space="preserve">   </t>
    </r>
    <r>
      <rPr>
        <vertAlign val="superscript"/>
        <sz val="10"/>
        <color indexed="8"/>
        <rFont val="Times New Roman"/>
        <family val="1"/>
      </rPr>
      <t xml:space="preserve">1 </t>
    </r>
    <r>
      <rPr>
        <sz val="10"/>
        <color indexed="8"/>
        <rFont val="Times New Roman"/>
        <family val="1"/>
      </rPr>
      <t>includes 125</t>
    </r>
    <r>
      <rPr>
        <sz val="10"/>
        <color indexed="8"/>
        <rFont val="Times New Roman"/>
        <family val="1"/>
      </rPr>
      <t xml:space="preserve"> secondary schools providing both academic and pre-vocational education and 6 schools providing only pre-vocational</t>
    </r>
  </si>
  <si>
    <t>Table 2.1 - Total Government Expenditure, Republic of Mauritius, 2008/2009 and July to Dec 2009</t>
  </si>
  <si>
    <r>
      <t>July to 31 Dec 2009</t>
    </r>
    <r>
      <rPr>
        <vertAlign val="superscript"/>
        <sz val="11"/>
        <rFont val="Times New Roman"/>
        <family val="1"/>
      </rPr>
      <t>1</t>
    </r>
  </si>
  <si>
    <t xml:space="preserve">Table 2.2 - Government Expenditure on Education by sector, 2008/2009 and July to Dec 2009 </t>
  </si>
  <si>
    <r>
      <t>Island of Mauritius</t>
    </r>
  </si>
  <si>
    <r>
      <t>\1</t>
    </r>
    <r>
      <rPr>
        <sz val="11"/>
        <rFont val="Times New Roman"/>
        <family val="1"/>
      </rPr>
      <t xml:space="preserve">  Budget Estimates          </t>
    </r>
  </si>
  <si>
    <r>
      <t>\5</t>
    </r>
    <r>
      <rPr>
        <sz val="11"/>
        <color indexed="8"/>
        <rFont val="Times New Roman"/>
        <family val="1"/>
      </rPr>
      <t xml:space="preserve">  Includes Sea Training, MIH &amp; Training under the National Empowerment Foundation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</si>
</sst>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"/>
    <numFmt numFmtId="166" formatCode="0.0"/>
    <numFmt numFmtId="167" formatCode="#,##0\ \ \ \ "/>
    <numFmt numFmtId="168" formatCode="#,##0\ \ "/>
    <numFmt numFmtId="169" formatCode="#,##0\ \ \ "/>
    <numFmt numFmtId="170" formatCode="\-\ \ "/>
    <numFmt numFmtId="171" formatCode="#,##0.0\ \ "/>
    <numFmt numFmtId="172" formatCode="0\ \ \ \ \ "/>
    <numFmt numFmtId="173" formatCode="\-\ \ \ \ \ "/>
    <numFmt numFmtId="174" formatCode="#,##0\ \ \ \ \ \ \ \ \ \ \ "/>
    <numFmt numFmtId="175" formatCode="\-\ \ \ \ \ \ \ \ \ \ \ "/>
    <numFmt numFmtId="176" formatCode="00000"/>
    <numFmt numFmtId="177" formatCode="#,##0.0\ \ \ \ \ \ \ \ \ \ \ \ "/>
    <numFmt numFmtId="178" formatCode="#,##0.0\ \ \ \ \ \ "/>
    <numFmt numFmtId="179" formatCode="\-\ \ \ \ \ \ \ \ \ \ \ \ \ "/>
    <numFmt numFmtId="180" formatCode="#,##0\ \ \ \ \ \ "/>
    <numFmt numFmtId="181" formatCode="\ \ \ \ \ \ \ \ \ \ \ \ "/>
    <numFmt numFmtId="182" formatCode="0\ \ \ "/>
    <numFmt numFmtId="183" formatCode="#,##0\ "/>
    <numFmt numFmtId="184" formatCode="\ \ #,##0\ \ \ "/>
    <numFmt numFmtId="185" formatCode="\ \ \ \ \ \-\ \ "/>
    <numFmt numFmtId="186" formatCode="\ \ \ \ \ \ \-\ \ "/>
    <numFmt numFmtId="187" formatCode="\ \ \ \ \ \ \ \-\ \ "/>
    <numFmt numFmtId="188" formatCode="0.0\ \ \ "/>
    <numFmt numFmtId="189" formatCode="\-\ \ \ \ \ \ \ "/>
    <numFmt numFmtId="190" formatCode="\-\ \ \ \ \ \ "/>
    <numFmt numFmtId="191" formatCode="\ \ \-\ \ \ \ \ \ "/>
    <numFmt numFmtId="192" formatCode="\ \ \ \ \ \ \ \ \ \ \ \ \ General"/>
    <numFmt numFmtId="193" formatCode="#,##0\ \ \ \ \ \ \ \ \ \ \ \ "/>
    <numFmt numFmtId="194" formatCode="#,##0\ \ \ \ \ \ \ "/>
    <numFmt numFmtId="195" formatCode="\ \ \ \ \ \ \ \ \ 0"/>
    <numFmt numFmtId="196" formatCode="\ 0\ \ \ \ \ \ \ \ \ "/>
    <numFmt numFmtId="197" formatCode="\ \ \ #,##0\ \ \ \ \ \ \ \ \ \ \ "/>
    <numFmt numFmtId="198" formatCode="0\ \ \ \ "/>
    <numFmt numFmtId="199" formatCode="\ \ \ \ \ \-\ \ \ \ \ "/>
    <numFmt numFmtId="200" formatCode="0.0000"/>
    <numFmt numFmtId="201" formatCode="0.000"/>
    <numFmt numFmtId="202" formatCode="0.000000"/>
    <numFmt numFmtId="203" formatCode="0.00000"/>
  </numFmts>
  <fonts count="70">
    <font>
      <sz val="10"/>
      <name val="Arial"/>
      <family val="0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10"/>
      <name val="MS Sans Serif"/>
      <family val="2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1"/>
      <name val="MS Sans Serif"/>
      <family val="2"/>
    </font>
    <font>
      <sz val="12"/>
      <name val="Arial"/>
      <family val="2"/>
    </font>
    <font>
      <b/>
      <sz val="10"/>
      <name val="Times New Roman"/>
      <family val="1"/>
    </font>
    <font>
      <sz val="9.5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MS Sans Serif"/>
      <family val="2"/>
    </font>
    <font>
      <b/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10.5"/>
      <name val="Arial"/>
      <family val="2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vertAlign val="superscript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vertAlign val="superscript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>
        <color indexed="63"/>
      </right>
      <top style="thin"/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5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left" wrapText="1"/>
    </xf>
    <xf numFmtId="0" fontId="3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left" wrapText="1"/>
    </xf>
    <xf numFmtId="171" fontId="1" fillId="0" borderId="16" xfId="0" applyNumberFormat="1" applyFont="1" applyBorder="1" applyAlignment="1">
      <alignment horizontal="right"/>
    </xf>
    <xf numFmtId="165" fontId="1" fillId="0" borderId="17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171" fontId="1" fillId="0" borderId="18" xfId="0" applyNumberFormat="1" applyFont="1" applyBorder="1" applyAlignment="1">
      <alignment horizontal="right"/>
    </xf>
    <xf numFmtId="165" fontId="1" fillId="0" borderId="18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0" fontId="3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178" fontId="3" fillId="0" borderId="0" xfId="42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1" fontId="1" fillId="0" borderId="12" xfId="0" applyNumberFormat="1" applyFont="1" applyBorder="1" applyAlignment="1">
      <alignment horizontal="center" wrapText="1"/>
    </xf>
    <xf numFmtId="165" fontId="1" fillId="0" borderId="19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171" fontId="1" fillId="0" borderId="10" xfId="0" applyNumberFormat="1" applyFont="1" applyBorder="1" applyAlignment="1">
      <alignment horizontal="center" wrapText="1"/>
    </xf>
    <xf numFmtId="165" fontId="1" fillId="0" borderId="20" xfId="0" applyNumberFormat="1" applyFont="1" applyBorder="1" applyAlignment="1">
      <alignment horizontal="center"/>
    </xf>
    <xf numFmtId="165" fontId="6" fillId="0" borderId="21" xfId="0" applyNumberFormat="1" applyFont="1" applyBorder="1" applyAlignment="1">
      <alignment horizontal="right"/>
    </xf>
    <xf numFmtId="171" fontId="3" fillId="0" borderId="22" xfId="0" applyNumberFormat="1" applyFont="1" applyBorder="1" applyAlignment="1">
      <alignment horizontal="right"/>
    </xf>
    <xf numFmtId="0" fontId="7" fillId="0" borderId="15" xfId="0" applyFont="1" applyBorder="1" applyAlignment="1">
      <alignment horizontal="left"/>
    </xf>
    <xf numFmtId="165" fontId="7" fillId="0" borderId="21" xfId="0" applyNumberFormat="1" applyFont="1" applyBorder="1" applyAlignment="1">
      <alignment horizontal="right"/>
    </xf>
    <xf numFmtId="171" fontId="7" fillId="0" borderId="0" xfId="0" applyNumberFormat="1" applyFont="1" applyBorder="1" applyAlignment="1">
      <alignment horizontal="right"/>
    </xf>
    <xf numFmtId="171" fontId="3" fillId="0" borderId="0" xfId="0" applyNumberFormat="1" applyFont="1" applyBorder="1" applyAlignment="1">
      <alignment horizontal="right"/>
    </xf>
    <xf numFmtId="165" fontId="1" fillId="0" borderId="0" xfId="0" applyNumberFormat="1" applyFont="1" applyAlignment="1">
      <alignment/>
    </xf>
    <xf numFmtId="0" fontId="7" fillId="0" borderId="1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171" fontId="3" fillId="0" borderId="23" xfId="0" applyNumberFormat="1" applyFont="1" applyBorder="1" applyAlignment="1">
      <alignment horizontal="right"/>
    </xf>
    <xf numFmtId="171" fontId="3" fillId="0" borderId="24" xfId="42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0" fontId="2" fillId="0" borderId="0" xfId="0" applyFont="1" applyAlignment="1">
      <alignment/>
    </xf>
    <xf numFmtId="171" fontId="2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right"/>
    </xf>
    <xf numFmtId="176" fontId="10" fillId="0" borderId="0" xfId="0" applyNumberFormat="1" applyFont="1" applyAlignment="1">
      <alignment horizontal="left"/>
    </xf>
    <xf numFmtId="0" fontId="1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14" xfId="0" applyFont="1" applyBorder="1" applyAlignment="1">
      <alignment vertical="center"/>
    </xf>
    <xf numFmtId="174" fontId="1" fillId="0" borderId="25" xfId="0" applyNumberFormat="1" applyFont="1" applyBorder="1" applyAlignment="1">
      <alignment vertical="center"/>
    </xf>
    <xf numFmtId="180" fontId="1" fillId="0" borderId="25" xfId="0" applyNumberFormat="1" applyFont="1" applyBorder="1" applyAlignment="1">
      <alignment vertical="center"/>
    </xf>
    <xf numFmtId="174" fontId="1" fillId="0" borderId="25" xfId="0" applyNumberFormat="1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74" fontId="1" fillId="0" borderId="26" xfId="0" applyNumberFormat="1" applyFont="1" applyBorder="1" applyAlignment="1">
      <alignment vertical="center"/>
    </xf>
    <xf numFmtId="180" fontId="1" fillId="0" borderId="26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180" fontId="1" fillId="0" borderId="27" xfId="0" applyNumberFormat="1" applyFont="1" applyBorder="1" applyAlignment="1">
      <alignment vertical="center"/>
    </xf>
    <xf numFmtId="174" fontId="1" fillId="0" borderId="28" xfId="0" applyNumberFormat="1" applyFont="1" applyBorder="1" applyAlignment="1">
      <alignment vertical="center"/>
    </xf>
    <xf numFmtId="180" fontId="1" fillId="0" borderId="28" xfId="0" applyNumberFormat="1" applyFont="1" applyBorder="1" applyAlignment="1">
      <alignment vertical="center"/>
    </xf>
    <xf numFmtId="174" fontId="1" fillId="0" borderId="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80" fontId="1" fillId="0" borderId="25" xfId="0" applyNumberFormat="1" applyFont="1" applyFill="1" applyBorder="1" applyAlignment="1">
      <alignment horizontal="right" vertical="center"/>
    </xf>
    <xf numFmtId="180" fontId="1" fillId="0" borderId="25" xfId="0" applyNumberFormat="1" applyFont="1" applyBorder="1" applyAlignment="1">
      <alignment horizontal="right" vertical="center"/>
    </xf>
    <xf numFmtId="174" fontId="1" fillId="0" borderId="27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180" fontId="1" fillId="0" borderId="28" xfId="0" applyNumberFormat="1" applyFont="1" applyBorder="1" applyAlignment="1">
      <alignment horizontal="right" vertical="center"/>
    </xf>
    <xf numFmtId="167" fontId="12" fillId="0" borderId="0" xfId="0" applyNumberFormat="1" applyFont="1" applyBorder="1" applyAlignment="1">
      <alignment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29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/>
    </xf>
    <xf numFmtId="180" fontId="1" fillId="0" borderId="15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25" xfId="0" applyNumberFormat="1" applyFont="1" applyFill="1" applyBorder="1" applyAlignment="1">
      <alignment vertical="center"/>
    </xf>
    <xf numFmtId="180" fontId="1" fillId="0" borderId="15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180" fontId="1" fillId="0" borderId="11" xfId="0" applyNumberFormat="1" applyFont="1" applyBorder="1" applyAlignment="1">
      <alignment vertical="center"/>
    </xf>
    <xf numFmtId="180" fontId="1" fillId="0" borderId="18" xfId="0" applyNumberFormat="1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180" fontId="1" fillId="0" borderId="13" xfId="0" applyNumberFormat="1" applyFont="1" applyBorder="1" applyAlignment="1">
      <alignment vertical="center"/>
    </xf>
    <xf numFmtId="180" fontId="1" fillId="0" borderId="29" xfId="0" applyNumberFormat="1" applyFont="1" applyBorder="1" applyAlignment="1">
      <alignment vertical="center"/>
    </xf>
    <xf numFmtId="0" fontId="1" fillId="0" borderId="25" xfId="0" applyFont="1" applyBorder="1" applyAlignment="1">
      <alignment horizontal="left" wrapText="1"/>
    </xf>
    <xf numFmtId="0" fontId="13" fillId="0" borderId="0" xfId="71" applyFont="1">
      <alignment/>
      <protection/>
    </xf>
    <xf numFmtId="0" fontId="12" fillId="0" borderId="0" xfId="71" applyFont="1">
      <alignment/>
      <protection/>
    </xf>
    <xf numFmtId="0" fontId="1" fillId="0" borderId="29" xfId="71" applyFont="1" applyBorder="1" applyAlignment="1">
      <alignment horizontal="centerContinuous" vertical="center"/>
      <protection/>
    </xf>
    <xf numFmtId="0" fontId="1" fillId="0" borderId="29" xfId="71" applyFont="1" applyBorder="1" applyAlignment="1">
      <alignment horizontal="centerContinuous"/>
      <protection/>
    </xf>
    <xf numFmtId="0" fontId="1" fillId="0" borderId="13" xfId="71" applyFont="1" applyBorder="1" applyAlignment="1">
      <alignment horizontal="centerContinuous"/>
      <protection/>
    </xf>
    <xf numFmtId="0" fontId="1" fillId="0" borderId="0" xfId="71" applyFont="1">
      <alignment/>
      <protection/>
    </xf>
    <xf numFmtId="0" fontId="1" fillId="0" borderId="12" xfId="71" applyFont="1" applyBorder="1" applyAlignment="1">
      <alignment horizontal="centerContinuous" vertical="center"/>
      <protection/>
    </xf>
    <xf numFmtId="0" fontId="1" fillId="0" borderId="17" xfId="71" applyFont="1" applyBorder="1" applyAlignment="1">
      <alignment horizontal="center" vertical="center"/>
      <protection/>
    </xf>
    <xf numFmtId="0" fontId="1" fillId="0" borderId="16" xfId="71" applyFont="1" applyBorder="1" applyAlignment="1">
      <alignment horizontal="centerContinuous" vertical="center"/>
      <protection/>
    </xf>
    <xf numFmtId="0" fontId="1" fillId="0" borderId="17" xfId="71" applyFont="1" applyBorder="1" applyAlignment="1">
      <alignment horizontal="centerContinuous"/>
      <protection/>
    </xf>
    <xf numFmtId="0" fontId="1" fillId="0" borderId="30" xfId="71" applyFont="1" applyBorder="1" applyAlignment="1">
      <alignment horizontal="centerContinuous" vertical="center"/>
      <protection/>
    </xf>
    <xf numFmtId="0" fontId="1" fillId="0" borderId="24" xfId="71" applyFont="1" applyBorder="1" applyAlignment="1">
      <alignment horizontal="centerContinuous" vertical="center"/>
      <protection/>
    </xf>
    <xf numFmtId="0" fontId="1" fillId="0" borderId="17" xfId="71" applyFont="1" applyBorder="1" applyAlignment="1">
      <alignment horizontal="centerContinuous" vertical="center"/>
      <protection/>
    </xf>
    <xf numFmtId="0" fontId="1" fillId="0" borderId="31" xfId="71" applyFont="1" applyBorder="1" applyAlignment="1">
      <alignment horizontal="center" vertical="center"/>
      <protection/>
    </xf>
    <xf numFmtId="0" fontId="1" fillId="0" borderId="14" xfId="71" applyFont="1" applyBorder="1" applyAlignment="1">
      <alignment vertical="center"/>
      <protection/>
    </xf>
    <xf numFmtId="168" fontId="1" fillId="0" borderId="25" xfId="71" applyNumberFormat="1" applyFont="1" applyBorder="1" applyAlignment="1">
      <alignment horizontal="center" vertical="center"/>
      <protection/>
    </xf>
    <xf numFmtId="168" fontId="1" fillId="0" borderId="32" xfId="71" applyNumberFormat="1" applyFont="1" applyBorder="1" applyAlignment="1">
      <alignment horizontal="center" vertical="center"/>
      <protection/>
    </xf>
    <xf numFmtId="168" fontId="1" fillId="0" borderId="22" xfId="71" applyNumberFormat="1" applyFont="1" applyBorder="1" applyAlignment="1">
      <alignment horizontal="center" vertical="center"/>
      <protection/>
    </xf>
    <xf numFmtId="183" fontId="1" fillId="0" borderId="22" xfId="71" applyNumberFormat="1" applyFont="1" applyBorder="1" applyAlignment="1">
      <alignment horizontal="center" vertical="center"/>
      <protection/>
    </xf>
    <xf numFmtId="168" fontId="1" fillId="0" borderId="0" xfId="71" applyNumberFormat="1" applyFont="1">
      <alignment/>
      <protection/>
    </xf>
    <xf numFmtId="40" fontId="1" fillId="0" borderId="22" xfId="48" applyFont="1" applyBorder="1" applyAlignment="1">
      <alignment horizontal="center" vertical="center"/>
    </xf>
    <xf numFmtId="40" fontId="1" fillId="0" borderId="21" xfId="48" applyFont="1" applyBorder="1" applyAlignment="1">
      <alignment horizontal="center" vertical="center"/>
    </xf>
    <xf numFmtId="168" fontId="1" fillId="0" borderId="27" xfId="71" applyNumberFormat="1" applyFont="1" applyBorder="1" applyAlignment="1">
      <alignment horizontal="center" vertical="center"/>
      <protection/>
    </xf>
    <xf numFmtId="168" fontId="1" fillId="0" borderId="30" xfId="71" applyNumberFormat="1" applyFont="1" applyBorder="1" applyAlignment="1">
      <alignment horizontal="center" vertical="center"/>
      <protection/>
    </xf>
    <xf numFmtId="168" fontId="1" fillId="0" borderId="24" xfId="71" applyNumberFormat="1" applyFont="1" applyBorder="1" applyAlignment="1">
      <alignment horizontal="center" vertical="center"/>
      <protection/>
    </xf>
    <xf numFmtId="40" fontId="1" fillId="0" borderId="24" xfId="48" applyFont="1" applyBorder="1" applyAlignment="1">
      <alignment horizontal="center" vertical="center"/>
    </xf>
    <xf numFmtId="40" fontId="1" fillId="0" borderId="33" xfId="48" applyFont="1" applyBorder="1" applyAlignment="1">
      <alignment horizontal="center" vertical="center"/>
    </xf>
    <xf numFmtId="0" fontId="1" fillId="0" borderId="10" xfId="71" applyFont="1" applyBorder="1" applyAlignment="1">
      <alignment vertical="center"/>
      <protection/>
    </xf>
    <xf numFmtId="0" fontId="1" fillId="0" borderId="16" xfId="71" applyFont="1" applyBorder="1" applyAlignment="1">
      <alignment vertical="center"/>
      <protection/>
    </xf>
    <xf numFmtId="168" fontId="1" fillId="0" borderId="28" xfId="71" applyNumberFormat="1" applyFont="1" applyBorder="1" applyAlignment="1">
      <alignment horizontal="center" vertical="center"/>
      <protection/>
    </xf>
    <xf numFmtId="168" fontId="1" fillId="0" borderId="34" xfId="71" applyNumberFormat="1" applyFont="1" applyBorder="1" applyAlignment="1">
      <alignment horizontal="center" vertical="center"/>
      <protection/>
    </xf>
    <xf numFmtId="168" fontId="1" fillId="0" borderId="31" xfId="71" applyNumberFormat="1" applyFont="1" applyBorder="1" applyAlignment="1">
      <alignment horizontal="center" vertical="center"/>
      <protection/>
    </xf>
    <xf numFmtId="0" fontId="1" fillId="0" borderId="30" xfId="71" applyFont="1" applyBorder="1" applyAlignment="1">
      <alignment horizontal="center" vertical="center"/>
      <protection/>
    </xf>
    <xf numFmtId="183" fontId="1" fillId="0" borderId="32" xfId="71" applyNumberFormat="1" applyFont="1" applyBorder="1" applyAlignment="1" quotePrefix="1">
      <alignment horizontal="center" vertical="center"/>
      <protection/>
    </xf>
    <xf numFmtId="0" fontId="1" fillId="0" borderId="12" xfId="71" applyFont="1" applyBorder="1" applyAlignment="1" quotePrefix="1">
      <alignment horizontal="left" vertical="center"/>
      <protection/>
    </xf>
    <xf numFmtId="183" fontId="1" fillId="0" borderId="34" xfId="71" applyNumberFormat="1" applyFont="1" applyBorder="1" applyAlignment="1">
      <alignment horizontal="center" vertical="center"/>
      <protection/>
    </xf>
    <xf numFmtId="0" fontId="13" fillId="0" borderId="0" xfId="72" applyFont="1" applyAlignment="1">
      <alignment/>
      <protection/>
    </xf>
    <xf numFmtId="0" fontId="13" fillId="0" borderId="0" xfId="72" applyFont="1" applyAlignment="1">
      <alignment horizontal="center"/>
      <protection/>
    </xf>
    <xf numFmtId="0" fontId="20" fillId="0" borderId="0" xfId="72" applyFont="1">
      <alignment/>
      <protection/>
    </xf>
    <xf numFmtId="0" fontId="16" fillId="0" borderId="0" xfId="72">
      <alignment/>
      <protection/>
    </xf>
    <xf numFmtId="0" fontId="12" fillId="0" borderId="0" xfId="72" applyFont="1" applyAlignment="1">
      <alignment/>
      <protection/>
    </xf>
    <xf numFmtId="0" fontId="12" fillId="0" borderId="0" xfId="72" applyFont="1" applyAlignment="1">
      <alignment horizontal="center"/>
      <protection/>
    </xf>
    <xf numFmtId="0" fontId="12" fillId="0" borderId="0" xfId="65" applyFont="1">
      <alignment/>
      <protection/>
    </xf>
    <xf numFmtId="0" fontId="1" fillId="0" borderId="12" xfId="72" applyFont="1" applyBorder="1" applyAlignment="1">
      <alignment horizontal="center" vertical="center" wrapText="1"/>
      <protection/>
    </xf>
    <xf numFmtId="0" fontId="1" fillId="0" borderId="13" xfId="72" applyFont="1" applyBorder="1" applyAlignment="1">
      <alignment horizontal="center" vertical="center" wrapText="1"/>
      <protection/>
    </xf>
    <xf numFmtId="0" fontId="12" fillId="0" borderId="0" xfId="65" applyFont="1" applyAlignment="1">
      <alignment vertical="center"/>
      <protection/>
    </xf>
    <xf numFmtId="0" fontId="5" fillId="0" borderId="0" xfId="72" applyFont="1">
      <alignment/>
      <protection/>
    </xf>
    <xf numFmtId="0" fontId="1" fillId="0" borderId="0" xfId="72" applyFont="1" applyAlignment="1">
      <alignment/>
      <protection/>
    </xf>
    <xf numFmtId="0" fontId="1" fillId="0" borderId="35" xfId="72" applyFont="1" applyBorder="1" applyAlignment="1">
      <alignment horizontal="center" vertical="center" wrapText="1"/>
      <protection/>
    </xf>
    <xf numFmtId="0" fontId="1" fillId="0" borderId="19" xfId="72" applyFont="1" applyBorder="1" applyAlignment="1">
      <alignment horizontal="center" vertical="center" wrapText="1"/>
      <protection/>
    </xf>
    <xf numFmtId="0" fontId="1" fillId="0" borderId="14" xfId="72" applyFont="1" applyBorder="1" applyAlignment="1">
      <alignment/>
      <protection/>
    </xf>
    <xf numFmtId="184" fontId="12" fillId="0" borderId="14" xfId="72" applyNumberFormat="1" applyFont="1" applyBorder="1" applyAlignment="1">
      <alignment horizontal="right"/>
      <protection/>
    </xf>
    <xf numFmtId="184" fontId="12" fillId="0" borderId="36" xfId="72" applyNumberFormat="1" applyFont="1" applyBorder="1" applyAlignment="1">
      <alignment horizontal="right"/>
      <protection/>
    </xf>
    <xf numFmtId="184" fontId="12" fillId="0" borderId="0" xfId="72" applyNumberFormat="1" applyFont="1" applyBorder="1" applyAlignment="1">
      <alignment horizontal="right"/>
      <protection/>
    </xf>
    <xf numFmtId="184" fontId="12" fillId="0" borderId="37" xfId="72" applyNumberFormat="1" applyFont="1" applyBorder="1" applyAlignment="1">
      <alignment horizontal="right"/>
      <protection/>
    </xf>
    <xf numFmtId="184" fontId="12" fillId="0" borderId="15" xfId="72" applyNumberFormat="1" applyFont="1" applyBorder="1" applyAlignment="1">
      <alignment horizontal="right"/>
      <protection/>
    </xf>
    <xf numFmtId="184" fontId="12" fillId="0" borderId="21" xfId="72" applyNumberFormat="1" applyFont="1" applyBorder="1" applyAlignment="1">
      <alignment horizontal="right"/>
      <protection/>
    </xf>
    <xf numFmtId="183" fontId="12" fillId="0" borderId="22" xfId="72" applyNumberFormat="1" applyFont="1" applyBorder="1" applyAlignment="1">
      <alignment horizontal="center"/>
      <protection/>
    </xf>
    <xf numFmtId="183" fontId="12" fillId="0" borderId="37" xfId="72" applyNumberFormat="1" applyFont="1" applyBorder="1" applyAlignment="1">
      <alignment horizontal="center"/>
      <protection/>
    </xf>
    <xf numFmtId="0" fontId="5" fillId="0" borderId="0" xfId="72" applyFont="1" applyAlignment="1">
      <alignment horizontal="center"/>
      <protection/>
    </xf>
    <xf numFmtId="0" fontId="1" fillId="0" borderId="10" xfId="72" applyFont="1" applyBorder="1" applyAlignment="1">
      <alignment/>
      <protection/>
    </xf>
    <xf numFmtId="184" fontId="12" fillId="0" borderId="10" xfId="72" applyNumberFormat="1" applyFont="1" applyBorder="1" applyAlignment="1">
      <alignment horizontal="right"/>
      <protection/>
    </xf>
    <xf numFmtId="184" fontId="12" fillId="0" borderId="18" xfId="72" applyNumberFormat="1" applyFont="1" applyBorder="1" applyAlignment="1">
      <alignment horizontal="right"/>
      <protection/>
    </xf>
    <xf numFmtId="184" fontId="12" fillId="0" borderId="11" xfId="72" applyNumberFormat="1" applyFont="1" applyBorder="1" applyAlignment="1">
      <alignment horizontal="right"/>
      <protection/>
    </xf>
    <xf numFmtId="184" fontId="12" fillId="0" borderId="16" xfId="72" applyNumberFormat="1" applyFont="1" applyBorder="1" applyAlignment="1">
      <alignment horizontal="right"/>
      <protection/>
    </xf>
    <xf numFmtId="184" fontId="12" fillId="0" borderId="38" xfId="72" applyNumberFormat="1" applyFont="1" applyBorder="1" applyAlignment="1">
      <alignment horizontal="right"/>
      <protection/>
    </xf>
    <xf numFmtId="184" fontId="12" fillId="0" borderId="23" xfId="72" applyNumberFormat="1" applyFont="1" applyBorder="1" applyAlignment="1">
      <alignment horizontal="right"/>
      <protection/>
    </xf>
    <xf numFmtId="183" fontId="12" fillId="0" borderId="16" xfId="72" applyNumberFormat="1" applyFont="1" applyBorder="1" applyAlignment="1">
      <alignment horizontal="center"/>
      <protection/>
    </xf>
    <xf numFmtId="184" fontId="12" fillId="0" borderId="17" xfId="72" applyNumberFormat="1" applyFont="1" applyBorder="1" applyAlignment="1">
      <alignment horizontal="right"/>
      <protection/>
    </xf>
    <xf numFmtId="0" fontId="1" fillId="0" borderId="12" xfId="72" applyFont="1" applyBorder="1" applyAlignment="1">
      <alignment/>
      <protection/>
    </xf>
    <xf numFmtId="184" fontId="12" fillId="0" borderId="12" xfId="72" applyNumberFormat="1" applyFont="1" applyBorder="1" applyAlignment="1">
      <alignment horizontal="right"/>
      <protection/>
    </xf>
    <xf numFmtId="184" fontId="12" fillId="0" borderId="35" xfId="72" applyNumberFormat="1" applyFont="1" applyBorder="1" applyAlignment="1">
      <alignment horizontal="right"/>
      <protection/>
    </xf>
    <xf numFmtId="184" fontId="12" fillId="0" borderId="13" xfId="72" applyNumberFormat="1" applyFont="1" applyBorder="1" applyAlignment="1">
      <alignment horizontal="right"/>
      <protection/>
    </xf>
    <xf numFmtId="184" fontId="12" fillId="0" borderId="29" xfId="72" applyNumberFormat="1" applyFont="1" applyBorder="1" applyAlignment="1">
      <alignment horizontal="right"/>
      <protection/>
    </xf>
    <xf numFmtId="0" fontId="0" fillId="0" borderId="0" xfId="72" applyFont="1">
      <alignment/>
      <protection/>
    </xf>
    <xf numFmtId="0" fontId="12" fillId="0" borderId="12" xfId="72" applyFont="1" applyBorder="1" applyAlignment="1">
      <alignment horizontal="center" vertical="center" wrapText="1"/>
      <protection/>
    </xf>
    <xf numFmtId="0" fontId="12" fillId="0" borderId="13" xfId="72" applyFont="1" applyBorder="1" applyAlignment="1">
      <alignment horizontal="center" vertical="center" wrapText="1"/>
      <protection/>
    </xf>
    <xf numFmtId="0" fontId="12" fillId="0" borderId="35" xfId="72" applyFont="1" applyBorder="1" applyAlignment="1">
      <alignment horizontal="center" vertical="center" wrapText="1"/>
      <protection/>
    </xf>
    <xf numFmtId="0" fontId="12" fillId="0" borderId="19" xfId="72" applyFont="1" applyBorder="1" applyAlignment="1">
      <alignment horizontal="center" vertical="center" wrapText="1"/>
      <protection/>
    </xf>
    <xf numFmtId="0" fontId="10" fillId="0" borderId="0" xfId="72" applyFont="1" applyAlignment="1">
      <alignment/>
      <protection/>
    </xf>
    <xf numFmtId="0" fontId="12" fillId="0" borderId="0" xfId="72" applyFont="1">
      <alignment/>
      <protection/>
    </xf>
    <xf numFmtId="0" fontId="12" fillId="0" borderId="0" xfId="72" applyFont="1" applyFill="1" applyAlignment="1">
      <alignment/>
      <protection/>
    </xf>
    <xf numFmtId="0" fontId="12" fillId="0" borderId="0" xfId="72" applyFont="1" applyFill="1" applyAlignment="1">
      <alignment horizontal="center" wrapText="1"/>
      <protection/>
    </xf>
    <xf numFmtId="0" fontId="12" fillId="0" borderId="0" xfId="72" applyFont="1" applyFill="1" applyAlignment="1">
      <alignment wrapText="1"/>
      <protection/>
    </xf>
    <xf numFmtId="0" fontId="12" fillId="0" borderId="0" xfId="72" applyFont="1" applyFill="1">
      <alignment/>
      <protection/>
    </xf>
    <xf numFmtId="0" fontId="13" fillId="0" borderId="0" xfId="74" applyFont="1" applyAlignment="1" quotePrefix="1">
      <alignment horizontal="left"/>
      <protection/>
    </xf>
    <xf numFmtId="0" fontId="12" fillId="0" borderId="0" xfId="74" applyFont="1">
      <alignment/>
      <protection/>
    </xf>
    <xf numFmtId="0" fontId="21" fillId="0" borderId="0" xfId="74" applyFont="1" applyAlignment="1">
      <alignment horizontal="left"/>
      <protection/>
    </xf>
    <xf numFmtId="0" fontId="21" fillId="0" borderId="0" xfId="74" applyFont="1" applyAlignment="1">
      <alignment horizontal="centerContinuous"/>
      <protection/>
    </xf>
    <xf numFmtId="0" fontId="1" fillId="0" borderId="12" xfId="74" applyFont="1" applyBorder="1" applyAlignment="1">
      <alignment horizontal="centerContinuous" vertical="center"/>
      <protection/>
    </xf>
    <xf numFmtId="0" fontId="1" fillId="0" borderId="13" xfId="74" applyFont="1" applyBorder="1" applyAlignment="1">
      <alignment horizontal="centerContinuous" vertical="center"/>
      <protection/>
    </xf>
    <xf numFmtId="0" fontId="1" fillId="0" borderId="29" xfId="74" applyFont="1" applyBorder="1" applyAlignment="1">
      <alignment horizontal="centerContinuous" vertical="center"/>
      <protection/>
    </xf>
    <xf numFmtId="0" fontId="1" fillId="0" borderId="0" xfId="74" applyFont="1">
      <alignment/>
      <protection/>
    </xf>
    <xf numFmtId="0" fontId="1" fillId="0" borderId="34" xfId="74" applyFont="1" applyBorder="1" applyAlignment="1">
      <alignment horizontal="centerContinuous" vertical="center"/>
      <protection/>
    </xf>
    <xf numFmtId="0" fontId="1" fillId="0" borderId="19" xfId="74" applyFont="1" applyBorder="1" applyAlignment="1">
      <alignment horizontal="center" vertical="center" wrapText="1"/>
      <protection/>
    </xf>
    <xf numFmtId="0" fontId="1" fillId="0" borderId="26" xfId="74" applyFont="1" applyBorder="1" applyAlignment="1">
      <alignment vertical="center"/>
      <protection/>
    </xf>
    <xf numFmtId="183" fontId="1" fillId="0" borderId="39" xfId="74" applyNumberFormat="1" applyFont="1" applyBorder="1" applyAlignment="1">
      <alignment horizontal="right" vertical="center"/>
      <protection/>
    </xf>
    <xf numFmtId="168" fontId="1" fillId="0" borderId="20" xfId="74" applyNumberFormat="1" applyFont="1" applyBorder="1" applyAlignment="1">
      <alignment horizontal="right" vertical="center"/>
      <protection/>
    </xf>
    <xf numFmtId="183" fontId="1" fillId="0" borderId="11" xfId="74" applyNumberFormat="1" applyFont="1" applyBorder="1" applyAlignment="1">
      <alignment horizontal="right" vertical="center"/>
      <protection/>
    </xf>
    <xf numFmtId="0" fontId="1" fillId="0" borderId="25" xfId="74" applyFont="1" applyBorder="1" applyAlignment="1">
      <alignment vertical="center"/>
      <protection/>
    </xf>
    <xf numFmtId="183" fontId="1" fillId="0" borderId="32" xfId="74" applyNumberFormat="1" applyFont="1" applyBorder="1" applyAlignment="1">
      <alignment horizontal="right" vertical="center"/>
      <protection/>
    </xf>
    <xf numFmtId="168" fontId="1" fillId="0" borderId="21" xfId="74" applyNumberFormat="1" applyFont="1" applyBorder="1" applyAlignment="1">
      <alignment horizontal="right" vertical="center"/>
      <protection/>
    </xf>
    <xf numFmtId="183" fontId="1" fillId="0" borderId="15" xfId="74" applyNumberFormat="1" applyFont="1" applyBorder="1" applyAlignment="1">
      <alignment horizontal="right" vertical="center"/>
      <protection/>
    </xf>
    <xf numFmtId="183" fontId="1" fillId="0" borderId="20" xfId="74" applyNumberFormat="1" applyFont="1" applyBorder="1" applyAlignment="1">
      <alignment horizontal="right" vertical="center"/>
      <protection/>
    </xf>
    <xf numFmtId="0" fontId="1" fillId="0" borderId="28" xfId="74" applyFont="1" applyBorder="1" applyAlignment="1">
      <alignment vertical="center"/>
      <protection/>
    </xf>
    <xf numFmtId="183" fontId="1" fillId="0" borderId="34" xfId="74" applyNumberFormat="1" applyFont="1" applyBorder="1" applyAlignment="1">
      <alignment horizontal="right" vertical="center"/>
      <protection/>
    </xf>
    <xf numFmtId="183" fontId="1" fillId="0" borderId="19" xfId="74" applyNumberFormat="1" applyFont="1" applyBorder="1" applyAlignment="1">
      <alignment horizontal="right" vertical="center"/>
      <protection/>
    </xf>
    <xf numFmtId="183" fontId="1" fillId="0" borderId="13" xfId="74" applyNumberFormat="1" applyFont="1" applyBorder="1" applyAlignment="1">
      <alignment horizontal="right" vertical="center"/>
      <protection/>
    </xf>
    <xf numFmtId="0" fontId="1" fillId="0" borderId="0" xfId="74" applyFont="1" applyBorder="1" applyAlignment="1">
      <alignment vertical="center"/>
      <protection/>
    </xf>
    <xf numFmtId="183" fontId="1" fillId="0" borderId="0" xfId="74" applyNumberFormat="1" applyFont="1" applyBorder="1" applyAlignment="1">
      <alignment horizontal="right" vertical="center"/>
      <protection/>
    </xf>
    <xf numFmtId="168" fontId="1" fillId="0" borderId="0" xfId="74" applyNumberFormat="1" applyFont="1" applyBorder="1" applyAlignment="1">
      <alignment horizontal="right" vertical="center"/>
      <protection/>
    </xf>
    <xf numFmtId="0" fontId="13" fillId="0" borderId="0" xfId="74" applyFont="1" applyBorder="1" applyAlignment="1" quotePrefix="1">
      <alignment horizontal="left"/>
      <protection/>
    </xf>
    <xf numFmtId="0" fontId="3" fillId="0" borderId="0" xfId="74" applyFont="1" applyAlignment="1">
      <alignment horizontal="left"/>
      <protection/>
    </xf>
    <xf numFmtId="0" fontId="1" fillId="0" borderId="18" xfId="74" applyFont="1" applyBorder="1" applyAlignment="1">
      <alignment horizontal="centerContinuous" vertical="center"/>
      <protection/>
    </xf>
    <xf numFmtId="0" fontId="1" fillId="0" borderId="11" xfId="74" applyFont="1" applyBorder="1" applyAlignment="1">
      <alignment horizontal="centerContinuous" vertical="center"/>
      <protection/>
    </xf>
    <xf numFmtId="0" fontId="1" fillId="0" borderId="19" xfId="74" applyFont="1" applyBorder="1" applyAlignment="1">
      <alignment horizontal="centerContinuous" vertical="center"/>
      <protection/>
    </xf>
    <xf numFmtId="183" fontId="1" fillId="0" borderId="18" xfId="74" applyNumberFormat="1" applyFont="1" applyBorder="1" applyAlignment="1">
      <alignment horizontal="right" vertical="center"/>
      <protection/>
    </xf>
    <xf numFmtId="183" fontId="1" fillId="0" borderId="29" xfId="74" applyNumberFormat="1" applyFont="1" applyBorder="1" applyAlignment="1">
      <alignment horizontal="right" vertical="center"/>
      <protection/>
    </xf>
    <xf numFmtId="0" fontId="12" fillId="0" borderId="0" xfId="74" applyFont="1">
      <alignment/>
      <protection/>
    </xf>
    <xf numFmtId="0" fontId="13" fillId="0" borderId="0" xfId="75" applyFont="1" applyAlignment="1" quotePrefix="1">
      <alignment horizontal="left"/>
      <protection/>
    </xf>
    <xf numFmtId="0" fontId="12" fillId="0" borderId="0" xfId="75" applyFont="1">
      <alignment/>
      <protection/>
    </xf>
    <xf numFmtId="0" fontId="1" fillId="0" borderId="0" xfId="75" applyFont="1">
      <alignment/>
      <protection/>
    </xf>
    <xf numFmtId="0" fontId="1" fillId="0" borderId="31" xfId="75" applyFont="1" applyBorder="1" applyAlignment="1">
      <alignment horizontal="center"/>
      <protection/>
    </xf>
    <xf numFmtId="0" fontId="1" fillId="0" borderId="35" xfId="75" applyFont="1" applyBorder="1" applyAlignment="1">
      <alignment horizontal="center"/>
      <protection/>
    </xf>
    <xf numFmtId="0" fontId="1" fillId="0" borderId="17" xfId="75" applyFont="1" applyBorder="1" applyAlignment="1">
      <alignment horizontal="center"/>
      <protection/>
    </xf>
    <xf numFmtId="0" fontId="3" fillId="0" borderId="14" xfId="75" applyFont="1" applyBorder="1" applyAlignment="1">
      <alignment/>
      <protection/>
    </xf>
    <xf numFmtId="0" fontId="1" fillId="0" borderId="0" xfId="75" applyFont="1" applyBorder="1">
      <alignment/>
      <protection/>
    </xf>
    <xf numFmtId="0" fontId="1" fillId="0" borderId="29" xfId="75" applyFont="1" applyBorder="1">
      <alignment/>
      <protection/>
    </xf>
    <xf numFmtId="0" fontId="1" fillId="0" borderId="13" xfId="75" applyFont="1" applyBorder="1">
      <alignment/>
      <protection/>
    </xf>
    <xf numFmtId="0" fontId="1" fillId="0" borderId="10" xfId="75" applyFont="1" applyBorder="1" applyAlignment="1">
      <alignment horizontal="center"/>
      <protection/>
    </xf>
    <xf numFmtId="0" fontId="3" fillId="0" borderId="18" xfId="75" applyFont="1" applyBorder="1" applyAlignment="1">
      <alignment horizontal="center"/>
      <protection/>
    </xf>
    <xf numFmtId="0" fontId="3" fillId="0" borderId="11" xfId="75" applyFont="1" applyBorder="1" applyAlignment="1">
      <alignment/>
      <protection/>
    </xf>
    <xf numFmtId="3" fontId="1" fillId="0" borderId="40" xfId="75" applyNumberFormat="1" applyFont="1" applyBorder="1" applyAlignment="1">
      <alignment/>
      <protection/>
    </xf>
    <xf numFmtId="3" fontId="1" fillId="0" borderId="36" xfId="75" applyNumberFormat="1" applyFont="1" applyBorder="1" applyAlignment="1">
      <alignment/>
      <protection/>
    </xf>
    <xf numFmtId="3" fontId="1" fillId="0" borderId="20" xfId="75" applyNumberFormat="1" applyFont="1" applyBorder="1" applyAlignment="1">
      <alignment/>
      <protection/>
    </xf>
    <xf numFmtId="0" fontId="1" fillId="0" borderId="0" xfId="75" applyFont="1" applyAlignment="1">
      <alignment/>
      <protection/>
    </xf>
    <xf numFmtId="0" fontId="1" fillId="0" borderId="14" xfId="75" applyFont="1" applyBorder="1" applyAlignment="1">
      <alignment horizontal="center"/>
      <protection/>
    </xf>
    <xf numFmtId="0" fontId="3" fillId="0" borderId="0" xfId="75" applyFont="1" applyBorder="1" applyAlignment="1">
      <alignment horizontal="center"/>
      <protection/>
    </xf>
    <xf numFmtId="0" fontId="1" fillId="0" borderId="15" xfId="75" applyFont="1" applyBorder="1" applyAlignment="1">
      <alignment/>
      <protection/>
    </xf>
    <xf numFmtId="3" fontId="1" fillId="0" borderId="22" xfId="75" applyNumberFormat="1" applyFont="1" applyBorder="1" applyAlignment="1">
      <alignment/>
      <protection/>
    </xf>
    <xf numFmtId="3" fontId="1" fillId="0" borderId="37" xfId="75" applyNumberFormat="1" applyFont="1" applyBorder="1" applyAlignment="1">
      <alignment/>
      <protection/>
    </xf>
    <xf numFmtId="3" fontId="1" fillId="0" borderId="21" xfId="75" applyNumberFormat="1" applyFont="1" applyBorder="1" applyAlignment="1">
      <alignment/>
      <protection/>
    </xf>
    <xf numFmtId="0" fontId="3" fillId="0" borderId="15" xfId="75" applyFont="1" applyBorder="1" applyAlignment="1">
      <alignment horizontal="center"/>
      <protection/>
    </xf>
    <xf numFmtId="0" fontId="3" fillId="0" borderId="12" xfId="75" applyFont="1" applyBorder="1" applyAlignment="1">
      <alignment horizontal="centerContinuous"/>
      <protection/>
    </xf>
    <xf numFmtId="0" fontId="1" fillId="0" borderId="29" xfId="75" applyFont="1" applyBorder="1" applyAlignment="1">
      <alignment horizontal="centerContinuous"/>
      <protection/>
    </xf>
    <xf numFmtId="0" fontId="1" fillId="0" borderId="13" xfId="75" applyFont="1" applyBorder="1" applyAlignment="1">
      <alignment horizontal="centerContinuous"/>
      <protection/>
    </xf>
    <xf numFmtId="3" fontId="1" fillId="0" borderId="31" xfId="75" applyNumberFormat="1" applyFont="1" applyBorder="1" applyAlignment="1">
      <alignment/>
      <protection/>
    </xf>
    <xf numFmtId="3" fontId="1" fillId="0" borderId="35" xfId="75" applyNumberFormat="1" applyFont="1" applyBorder="1" applyAlignment="1">
      <alignment/>
      <protection/>
    </xf>
    <xf numFmtId="3" fontId="1" fillId="0" borderId="19" xfId="75" applyNumberFormat="1" applyFont="1" applyBorder="1" applyAlignment="1">
      <alignment/>
      <protection/>
    </xf>
    <xf numFmtId="0" fontId="1" fillId="0" borderId="18" xfId="75" applyFont="1" applyBorder="1" applyAlignment="1">
      <alignment/>
      <protection/>
    </xf>
    <xf numFmtId="0" fontId="1" fillId="0" borderId="11" xfId="75" applyFont="1" applyBorder="1" applyAlignment="1">
      <alignment/>
      <protection/>
    </xf>
    <xf numFmtId="0" fontId="1" fillId="0" borderId="18" xfId="75" applyFont="1" applyBorder="1" applyAlignment="1">
      <alignment horizontal="centerContinuous"/>
      <protection/>
    </xf>
    <xf numFmtId="0" fontId="1" fillId="0" borderId="29" xfId="75" applyFont="1" applyBorder="1" applyAlignment="1">
      <alignment/>
      <protection/>
    </xf>
    <xf numFmtId="0" fontId="1" fillId="0" borderId="17" xfId="75" applyFont="1" applyBorder="1" applyAlignment="1">
      <alignment/>
      <protection/>
    </xf>
    <xf numFmtId="0" fontId="3" fillId="0" borderId="16" xfId="75" applyFont="1" applyBorder="1" applyAlignment="1">
      <alignment/>
      <protection/>
    </xf>
    <xf numFmtId="3" fontId="1" fillId="0" borderId="29" xfId="75" applyNumberFormat="1" applyFont="1" applyBorder="1" applyAlignment="1">
      <alignment horizontal="right"/>
      <protection/>
    </xf>
    <xf numFmtId="0" fontId="1" fillId="0" borderId="13" xfId="75" applyFont="1" applyBorder="1" applyAlignment="1">
      <alignment/>
      <protection/>
    </xf>
    <xf numFmtId="0" fontId="3" fillId="0" borderId="13" xfId="75" applyFont="1" applyBorder="1" applyAlignment="1">
      <alignment horizontal="centerContinuous"/>
      <protection/>
    </xf>
    <xf numFmtId="0" fontId="13" fillId="0" borderId="15" xfId="76" applyFont="1" applyBorder="1" applyAlignment="1" quotePrefix="1">
      <alignment horizontal="left"/>
      <protection/>
    </xf>
    <xf numFmtId="0" fontId="12" fillId="0" borderId="0" xfId="76" applyFont="1">
      <alignment/>
      <protection/>
    </xf>
    <xf numFmtId="0" fontId="1" fillId="0" borderId="0" xfId="76" applyFont="1" applyAlignment="1">
      <alignment/>
      <protection/>
    </xf>
    <xf numFmtId="0" fontId="1" fillId="0" borderId="29" xfId="76" applyFont="1" applyBorder="1" applyAlignment="1">
      <alignment horizontal="centerContinuous" vertical="center"/>
      <protection/>
    </xf>
    <xf numFmtId="0" fontId="1" fillId="0" borderId="13" xfId="76" applyFont="1" applyBorder="1" applyAlignment="1">
      <alignment horizontal="centerContinuous" vertical="center"/>
      <protection/>
    </xf>
    <xf numFmtId="0" fontId="1" fillId="0" borderId="30" xfId="76" applyFont="1" applyBorder="1" applyAlignment="1">
      <alignment horizontal="centerContinuous" vertical="center"/>
      <protection/>
    </xf>
    <xf numFmtId="0" fontId="1" fillId="0" borderId="17" xfId="76" applyFont="1" applyBorder="1" applyAlignment="1">
      <alignment horizontal="centerContinuous" vertical="center"/>
      <protection/>
    </xf>
    <xf numFmtId="0" fontId="1" fillId="0" borderId="31" xfId="76" applyFont="1" applyBorder="1" applyAlignment="1">
      <alignment horizontal="center"/>
      <protection/>
    </xf>
    <xf numFmtId="0" fontId="1" fillId="0" borderId="35" xfId="76" applyFont="1" applyBorder="1" applyAlignment="1">
      <alignment horizontal="center"/>
      <protection/>
    </xf>
    <xf numFmtId="0" fontId="1" fillId="0" borderId="17" xfId="76" applyFont="1" applyBorder="1" applyAlignment="1">
      <alignment horizontal="center"/>
      <protection/>
    </xf>
    <xf numFmtId="0" fontId="3" fillId="0" borderId="14" xfId="76" applyFont="1" applyBorder="1" applyAlignment="1">
      <alignment/>
      <protection/>
    </xf>
    <xf numFmtId="0" fontId="1" fillId="0" borderId="0" xfId="76" applyFont="1" applyBorder="1">
      <alignment/>
      <protection/>
    </xf>
    <xf numFmtId="183" fontId="1" fillId="0" borderId="29" xfId="76" applyNumberFormat="1" applyFont="1" applyBorder="1" applyAlignment="1">
      <alignment horizontal="right"/>
      <protection/>
    </xf>
    <xf numFmtId="183" fontId="1" fillId="0" borderId="0" xfId="76" applyNumberFormat="1" applyFont="1" applyBorder="1" applyAlignment="1">
      <alignment horizontal="right"/>
      <protection/>
    </xf>
    <xf numFmtId="0" fontId="1" fillId="0" borderId="29" xfId="76" applyFont="1" applyBorder="1">
      <alignment/>
      <protection/>
    </xf>
    <xf numFmtId="0" fontId="1" fillId="0" borderId="0" xfId="76" applyFont="1">
      <alignment/>
      <protection/>
    </xf>
    <xf numFmtId="0" fontId="1" fillId="0" borderId="13" xfId="76" applyFont="1" applyBorder="1">
      <alignment/>
      <protection/>
    </xf>
    <xf numFmtId="0" fontId="1" fillId="0" borderId="10" xfId="76" applyFont="1" applyBorder="1" applyAlignment="1">
      <alignment horizontal="center" vertical="center"/>
      <protection/>
    </xf>
    <xf numFmtId="0" fontId="1" fillId="0" borderId="18" xfId="76" applyFont="1" applyBorder="1">
      <alignment/>
      <protection/>
    </xf>
    <xf numFmtId="0" fontId="3" fillId="0" borderId="11" xfId="76" applyFont="1" applyBorder="1" applyAlignment="1">
      <alignment horizontal="left" vertical="center"/>
      <protection/>
    </xf>
    <xf numFmtId="183" fontId="1" fillId="0" borderId="39" xfId="76" applyNumberFormat="1" applyFont="1" applyBorder="1" applyAlignment="1">
      <alignment horizontal="right" vertical="center"/>
      <protection/>
    </xf>
    <xf numFmtId="183" fontId="1" fillId="0" borderId="36" xfId="76" applyNumberFormat="1" applyFont="1" applyBorder="1" applyAlignment="1">
      <alignment horizontal="right" vertical="center"/>
      <protection/>
    </xf>
    <xf numFmtId="183" fontId="1" fillId="0" borderId="11" xfId="76" applyNumberFormat="1" applyFont="1" applyBorder="1" applyAlignment="1">
      <alignment horizontal="right" vertical="center"/>
      <protection/>
    </xf>
    <xf numFmtId="3" fontId="1" fillId="0" borderId="40" xfId="76" applyNumberFormat="1" applyFont="1" applyBorder="1" applyAlignment="1">
      <alignment horizontal="right" vertical="center"/>
      <protection/>
    </xf>
    <xf numFmtId="3" fontId="1" fillId="0" borderId="36" xfId="76" applyNumberFormat="1" applyFont="1" applyBorder="1" applyAlignment="1">
      <alignment horizontal="right" vertical="center"/>
      <protection/>
    </xf>
    <xf numFmtId="3" fontId="1" fillId="0" borderId="20" xfId="76" applyNumberFormat="1" applyFont="1" applyBorder="1" applyAlignment="1">
      <alignment horizontal="right" vertical="center"/>
      <protection/>
    </xf>
    <xf numFmtId="0" fontId="1" fillId="0" borderId="14" xfId="76" applyFont="1" applyBorder="1" applyAlignment="1">
      <alignment horizontal="center" vertical="center"/>
      <protection/>
    </xf>
    <xf numFmtId="0" fontId="3" fillId="0" borderId="15" xfId="76" applyFont="1" applyBorder="1" applyAlignment="1">
      <alignment horizontal="left" vertical="center"/>
      <protection/>
    </xf>
    <xf numFmtId="183" fontId="1" fillId="0" borderId="22" xfId="76" applyNumberFormat="1" applyFont="1" applyBorder="1" applyAlignment="1">
      <alignment horizontal="right" vertical="center"/>
      <protection/>
    </xf>
    <xf numFmtId="183" fontId="1" fillId="0" borderId="32" xfId="76" applyNumberFormat="1" applyFont="1" applyBorder="1" applyAlignment="1">
      <alignment horizontal="right" vertical="center"/>
      <protection/>
    </xf>
    <xf numFmtId="183" fontId="1" fillId="0" borderId="15" xfId="76" applyNumberFormat="1" applyFont="1" applyBorder="1" applyAlignment="1">
      <alignment horizontal="right" vertical="center"/>
      <protection/>
    </xf>
    <xf numFmtId="3" fontId="1" fillId="0" borderId="22" xfId="76" applyNumberFormat="1" applyFont="1" applyBorder="1" applyAlignment="1">
      <alignment horizontal="right" vertical="center"/>
      <protection/>
    </xf>
    <xf numFmtId="3" fontId="1" fillId="0" borderId="37" xfId="76" applyNumberFormat="1" applyFont="1" applyBorder="1" applyAlignment="1">
      <alignment horizontal="right" vertical="center"/>
      <protection/>
    </xf>
    <xf numFmtId="3" fontId="1" fillId="0" borderId="21" xfId="76" applyNumberFormat="1" applyFont="1" applyBorder="1" applyAlignment="1">
      <alignment horizontal="right" vertical="center"/>
      <protection/>
    </xf>
    <xf numFmtId="0" fontId="3" fillId="0" borderId="0" xfId="76" applyFont="1" applyBorder="1" applyAlignment="1">
      <alignment horizontal="center" vertical="center"/>
      <protection/>
    </xf>
    <xf numFmtId="0" fontId="3" fillId="0" borderId="15" xfId="76" applyFont="1" applyBorder="1" applyAlignment="1">
      <alignment horizontal="left" vertical="center"/>
      <protection/>
    </xf>
    <xf numFmtId="183" fontId="1" fillId="0" borderId="38" xfId="76" applyNumberFormat="1" applyFont="1" applyBorder="1" applyAlignment="1">
      <alignment horizontal="right" vertical="center"/>
      <protection/>
    </xf>
    <xf numFmtId="0" fontId="3" fillId="0" borderId="12" xfId="76" applyFont="1" applyBorder="1" applyAlignment="1">
      <alignment horizontal="centerContinuous" vertical="center"/>
      <protection/>
    </xf>
    <xf numFmtId="0" fontId="3" fillId="0" borderId="29" xfId="76" applyFont="1" applyBorder="1" applyAlignment="1">
      <alignment horizontal="centerContinuous" vertical="center"/>
      <protection/>
    </xf>
    <xf numFmtId="0" fontId="3" fillId="0" borderId="13" xfId="76" applyFont="1" applyBorder="1" applyAlignment="1">
      <alignment horizontal="centerContinuous" vertical="center"/>
      <protection/>
    </xf>
    <xf numFmtId="183" fontId="1" fillId="0" borderId="34" xfId="76" applyNumberFormat="1" applyFont="1" applyBorder="1" applyAlignment="1">
      <alignment horizontal="right" vertical="center"/>
      <protection/>
    </xf>
    <xf numFmtId="183" fontId="1" fillId="0" borderId="13" xfId="76" applyNumberFormat="1" applyFont="1" applyBorder="1" applyAlignment="1">
      <alignment horizontal="right" vertical="center"/>
      <protection/>
    </xf>
    <xf numFmtId="3" fontId="1" fillId="0" borderId="31" xfId="76" applyNumberFormat="1" applyFont="1" applyBorder="1" applyAlignment="1">
      <alignment horizontal="right" vertical="center"/>
      <protection/>
    </xf>
    <xf numFmtId="3" fontId="1" fillId="0" borderId="35" xfId="76" applyNumberFormat="1" applyFont="1" applyBorder="1" applyAlignment="1">
      <alignment horizontal="right" vertical="center"/>
      <protection/>
    </xf>
    <xf numFmtId="3" fontId="1" fillId="0" borderId="19" xfId="76" applyNumberFormat="1" applyFont="1" applyBorder="1" applyAlignment="1">
      <alignment horizontal="right" vertical="center"/>
      <protection/>
    </xf>
    <xf numFmtId="0" fontId="3" fillId="0" borderId="10" xfId="76" applyFont="1" applyBorder="1" applyAlignment="1">
      <alignment/>
      <protection/>
    </xf>
    <xf numFmtId="0" fontId="1" fillId="0" borderId="11" xfId="76" applyFont="1" applyBorder="1">
      <alignment/>
      <protection/>
    </xf>
    <xf numFmtId="0" fontId="1" fillId="0" borderId="18" xfId="76" applyFont="1" applyBorder="1" applyAlignment="1">
      <alignment horizontal="centerContinuous" vertical="center"/>
      <protection/>
    </xf>
    <xf numFmtId="0" fontId="1" fillId="0" borderId="0" xfId="76" applyFont="1" applyBorder="1" applyAlignment="1">
      <alignment horizontal="centerContinuous" vertical="center"/>
      <protection/>
    </xf>
    <xf numFmtId="0" fontId="1" fillId="0" borderId="29" xfId="76" applyFont="1" applyBorder="1" applyAlignment="1">
      <alignment/>
      <protection/>
    </xf>
    <xf numFmtId="0" fontId="1" fillId="0" borderId="0" xfId="76" applyFont="1" applyAlignment="1">
      <alignment/>
      <protection/>
    </xf>
    <xf numFmtId="0" fontId="1" fillId="0" borderId="13" xfId="76" applyFont="1" applyBorder="1" applyAlignment="1">
      <alignment/>
      <protection/>
    </xf>
    <xf numFmtId="0" fontId="1" fillId="0" borderId="16" xfId="76" applyFont="1" applyBorder="1" applyAlignment="1">
      <alignment horizontal="center" vertical="center"/>
      <protection/>
    </xf>
    <xf numFmtId="0" fontId="3" fillId="0" borderId="23" xfId="76" applyFont="1" applyBorder="1" applyAlignment="1">
      <alignment horizontal="center" vertical="center"/>
      <protection/>
    </xf>
    <xf numFmtId="0" fontId="3" fillId="0" borderId="12" xfId="76" applyFont="1" applyBorder="1" applyAlignment="1">
      <alignment/>
      <protection/>
    </xf>
    <xf numFmtId="183" fontId="1" fillId="0" borderId="37" xfId="76" applyNumberFormat="1" applyFont="1" applyBorder="1" applyAlignment="1">
      <alignment horizontal="right" vertical="center"/>
      <protection/>
    </xf>
    <xf numFmtId="183" fontId="1" fillId="0" borderId="20" xfId="76" applyNumberFormat="1" applyFont="1" applyBorder="1" applyAlignment="1">
      <alignment horizontal="right" vertical="center"/>
      <protection/>
    </xf>
    <xf numFmtId="183" fontId="1" fillId="0" borderId="21" xfId="76" applyNumberFormat="1" applyFont="1" applyBorder="1" applyAlignment="1">
      <alignment horizontal="right" vertical="center"/>
      <protection/>
    </xf>
    <xf numFmtId="183" fontId="1" fillId="0" borderId="35" xfId="76" applyNumberFormat="1" applyFont="1" applyBorder="1" applyAlignment="1">
      <alignment horizontal="right" vertical="center"/>
      <protection/>
    </xf>
    <xf numFmtId="183" fontId="1" fillId="0" borderId="19" xfId="76" applyNumberFormat="1" applyFont="1" applyBorder="1" applyAlignment="1">
      <alignment horizontal="right" vertical="center"/>
      <protection/>
    </xf>
    <xf numFmtId="0" fontId="13" fillId="0" borderId="0" xfId="0" applyFont="1" applyAlignment="1" quotePrefix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textRotation="90" wrapText="1"/>
    </xf>
    <xf numFmtId="0" fontId="12" fillId="0" borderId="13" xfId="0" applyFont="1" applyBorder="1" applyAlignment="1">
      <alignment horizontal="center" vertical="center" textRotation="90"/>
    </xf>
    <xf numFmtId="0" fontId="12" fillId="0" borderId="34" xfId="0" applyFont="1" applyBorder="1" applyAlignment="1">
      <alignment horizontal="center" textRotation="90"/>
    </xf>
    <xf numFmtId="170" fontId="12" fillId="0" borderId="34" xfId="0" applyNumberFormat="1" applyFont="1" applyBorder="1" applyAlignment="1">
      <alignment horizontal="center" textRotation="90"/>
    </xf>
    <xf numFmtId="0" fontId="12" fillId="0" borderId="13" xfId="0" applyFont="1" applyBorder="1" applyAlignment="1">
      <alignment horizontal="left" vertical="center" textRotation="90"/>
    </xf>
    <xf numFmtId="0" fontId="12" fillId="0" borderId="13" xfId="0" applyFont="1" applyBorder="1" applyAlignment="1">
      <alignment horizontal="center" textRotation="90"/>
    </xf>
    <xf numFmtId="0" fontId="12" fillId="0" borderId="13" xfId="0" applyFont="1" applyFill="1" applyBorder="1" applyAlignment="1">
      <alignment horizontal="center" textRotation="90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9" fontId="1" fillId="0" borderId="26" xfId="0" applyNumberFormat="1" applyFont="1" applyBorder="1" applyAlignment="1">
      <alignment vertical="center"/>
    </xf>
    <xf numFmtId="169" fontId="1" fillId="0" borderId="11" xfId="0" applyNumberFormat="1" applyFont="1" applyBorder="1" applyAlignment="1">
      <alignment vertical="center"/>
    </xf>
    <xf numFmtId="169" fontId="1" fillId="0" borderId="11" xfId="0" applyNumberFormat="1" applyFont="1" applyBorder="1" applyAlignment="1">
      <alignment horizontal="right" vertical="center"/>
    </xf>
    <xf numFmtId="169" fontId="1" fillId="0" borderId="40" xfId="0" applyNumberFormat="1" applyFont="1" applyBorder="1" applyAlignment="1">
      <alignment vertical="center"/>
    </xf>
    <xf numFmtId="169" fontId="1" fillId="0" borderId="39" xfId="0" applyNumberFormat="1" applyFont="1" applyBorder="1" applyAlignment="1">
      <alignment vertical="center"/>
    </xf>
    <xf numFmtId="169" fontId="1" fillId="0" borderId="20" xfId="0" applyNumberFormat="1" applyFont="1" applyBorder="1" applyAlignment="1">
      <alignment horizontal="right" vertical="center"/>
    </xf>
    <xf numFmtId="169" fontId="1" fillId="0" borderId="11" xfId="0" applyNumberFormat="1" applyFont="1" applyFill="1" applyBorder="1" applyAlignment="1">
      <alignment vertical="center"/>
    </xf>
    <xf numFmtId="169" fontId="12" fillId="0" borderId="0" xfId="0" applyNumberFormat="1" applyFont="1" applyFill="1" applyBorder="1" applyAlignment="1">
      <alignment horizontal="center" vertical="center"/>
    </xf>
    <xf numFmtId="169" fontId="1" fillId="0" borderId="15" xfId="0" applyNumberFormat="1" applyFont="1" applyBorder="1" applyAlignment="1">
      <alignment vertical="center"/>
    </xf>
    <xf numFmtId="169" fontId="1" fillId="0" borderId="15" xfId="0" applyNumberFormat="1" applyFont="1" applyBorder="1" applyAlignment="1">
      <alignment horizontal="right" vertical="center"/>
    </xf>
    <xf numFmtId="169" fontId="1" fillId="0" borderId="22" xfId="0" applyNumberFormat="1" applyFont="1" applyBorder="1" applyAlignment="1">
      <alignment vertical="center"/>
    </xf>
    <xf numFmtId="169" fontId="1" fillId="0" borderId="32" xfId="0" applyNumberFormat="1" applyFont="1" applyBorder="1" applyAlignment="1">
      <alignment vertical="center"/>
    </xf>
    <xf numFmtId="186" fontId="1" fillId="0" borderId="32" xfId="0" applyNumberFormat="1" applyFont="1" applyBorder="1" applyAlignment="1" quotePrefix="1">
      <alignment horizontal="center" vertical="center"/>
    </xf>
    <xf numFmtId="169" fontId="1" fillId="0" borderId="15" xfId="0" applyNumberFormat="1" applyFont="1" applyFill="1" applyBorder="1" applyAlignment="1">
      <alignment vertical="center"/>
    </xf>
    <xf numFmtId="169" fontId="1" fillId="0" borderId="21" xfId="0" applyNumberFormat="1" applyFont="1" applyBorder="1" applyAlignment="1">
      <alignment horizontal="right" vertical="center"/>
    </xf>
    <xf numFmtId="169" fontId="1" fillId="0" borderId="33" xfId="0" applyNumberFormat="1" applyFont="1" applyBorder="1" applyAlignment="1">
      <alignment horizontal="right" vertical="center"/>
    </xf>
    <xf numFmtId="169" fontId="1" fillId="0" borderId="36" xfId="0" applyNumberFormat="1" applyFont="1" applyBorder="1" applyAlignment="1">
      <alignment vertical="center"/>
    </xf>
    <xf numFmtId="169" fontId="1" fillId="0" borderId="36" xfId="0" applyNumberFormat="1" applyFont="1" applyBorder="1" applyAlignment="1">
      <alignment horizontal="right" vertical="center"/>
    </xf>
    <xf numFmtId="169" fontId="12" fillId="0" borderId="0" xfId="0" applyNumberFormat="1" applyFont="1" applyBorder="1" applyAlignment="1">
      <alignment horizontal="center" vertical="center"/>
    </xf>
    <xf numFmtId="187" fontId="1" fillId="0" borderId="24" xfId="0" applyNumberFormat="1" applyFont="1" applyBorder="1" applyAlignment="1" quotePrefix="1">
      <alignment vertical="center"/>
    </xf>
    <xf numFmtId="187" fontId="1" fillId="0" borderId="32" xfId="0" applyNumberFormat="1" applyFont="1" applyBorder="1" applyAlignment="1">
      <alignment vertical="center"/>
    </xf>
    <xf numFmtId="185" fontId="1" fillId="0" borderId="32" xfId="0" applyNumberFormat="1" applyFont="1" applyBorder="1" applyAlignment="1">
      <alignment vertical="center"/>
    </xf>
    <xf numFmtId="185" fontId="1" fillId="0" borderId="33" xfId="0" applyNumberFormat="1" applyFont="1" applyBorder="1" applyAlignment="1">
      <alignment horizontal="center" vertical="center"/>
    </xf>
    <xf numFmtId="169" fontId="1" fillId="0" borderId="27" xfId="0" applyNumberFormat="1" applyFont="1" applyFill="1" applyBorder="1" applyAlignment="1">
      <alignment vertical="center"/>
    </xf>
    <xf numFmtId="169" fontId="1" fillId="0" borderId="13" xfId="0" applyNumberFormat="1" applyFont="1" applyBorder="1" applyAlignment="1">
      <alignment vertical="center"/>
    </xf>
    <xf numFmtId="169" fontId="1" fillId="0" borderId="13" xfId="0" applyNumberFormat="1" applyFont="1" applyBorder="1" applyAlignment="1">
      <alignment horizontal="right" vertical="center"/>
    </xf>
    <xf numFmtId="169" fontId="1" fillId="0" borderId="19" xfId="0" applyNumberFormat="1" applyFont="1" applyBorder="1" applyAlignment="1">
      <alignment horizontal="right" vertical="center"/>
    </xf>
    <xf numFmtId="169" fontId="1" fillId="0" borderId="13" xfId="0" applyNumberFormat="1" applyFont="1" applyFill="1" applyBorder="1" applyAlignment="1">
      <alignment vertical="center"/>
    </xf>
    <xf numFmtId="0" fontId="22" fillId="0" borderId="18" xfId="0" applyFont="1" applyBorder="1" applyAlignment="1">
      <alignment vertical="center"/>
    </xf>
    <xf numFmtId="169" fontId="10" fillId="0" borderId="18" xfId="0" applyNumberFormat="1" applyFont="1" applyBorder="1" applyAlignment="1">
      <alignment vertical="center"/>
    </xf>
    <xf numFmtId="169" fontId="10" fillId="0" borderId="18" xfId="0" applyNumberFormat="1" applyFont="1" applyBorder="1" applyAlignment="1">
      <alignment horizontal="right" vertical="center"/>
    </xf>
    <xf numFmtId="169" fontId="10" fillId="0" borderId="18" xfId="0" applyNumberFormat="1" applyFont="1" applyFill="1" applyBorder="1" applyAlignment="1">
      <alignment vertical="center"/>
    </xf>
    <xf numFmtId="169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 vertical="center" textRotation="90"/>
    </xf>
    <xf numFmtId="168" fontId="12" fillId="0" borderId="0" xfId="0" applyNumberFormat="1" applyFont="1" applyBorder="1" applyAlignment="1">
      <alignment horizontal="center" vertical="center" textRotation="90"/>
    </xf>
    <xf numFmtId="0" fontId="12" fillId="0" borderId="0" xfId="0" applyFont="1" applyFill="1" applyBorder="1" applyAlignment="1">
      <alignment horizontal="center" vertical="center" textRotation="90"/>
    </xf>
    <xf numFmtId="0" fontId="1" fillId="0" borderId="0" xfId="0" applyFont="1" applyAlignment="1" quotePrefix="1">
      <alignment horizontal="left"/>
    </xf>
    <xf numFmtId="0" fontId="12" fillId="0" borderId="23" xfId="0" applyFont="1" applyBorder="1" applyAlignment="1">
      <alignment horizontal="center" vertical="center" textRotation="90"/>
    </xf>
    <xf numFmtId="168" fontId="12" fillId="0" borderId="23" xfId="0" applyNumberFormat="1" applyFont="1" applyBorder="1" applyAlignment="1">
      <alignment horizontal="center" vertical="center" textRotation="90"/>
    </xf>
    <xf numFmtId="0" fontId="12" fillId="0" borderId="23" xfId="0" applyFont="1" applyFill="1" applyBorder="1" applyAlignment="1">
      <alignment horizontal="center" vertical="center" textRotation="90"/>
    </xf>
    <xf numFmtId="16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9" fontId="1" fillId="0" borderId="32" xfId="0" applyNumberFormat="1" applyFont="1" applyBorder="1" applyAlignment="1" quotePrefix="1">
      <alignment vertical="center"/>
    </xf>
    <xf numFmtId="169" fontId="1" fillId="0" borderId="21" xfId="0" applyNumberFormat="1" applyFont="1" applyBorder="1" applyAlignment="1">
      <alignment vertical="center"/>
    </xf>
    <xf numFmtId="169" fontId="1" fillId="0" borderId="28" xfId="0" applyNumberFormat="1" applyFont="1" applyBorder="1" applyAlignment="1">
      <alignment vertical="center"/>
    </xf>
    <xf numFmtId="169" fontId="1" fillId="0" borderId="31" xfId="0" applyNumberFormat="1" applyFont="1" applyBorder="1" applyAlignment="1">
      <alignment vertical="center"/>
    </xf>
    <xf numFmtId="169" fontId="1" fillId="0" borderId="34" xfId="0" applyNumberFormat="1" applyFont="1" applyBorder="1" applyAlignment="1">
      <alignment vertical="center"/>
    </xf>
    <xf numFmtId="169" fontId="1" fillId="0" borderId="19" xfId="0" applyNumberFormat="1" applyFont="1" applyBorder="1" applyAlignment="1">
      <alignment vertical="center"/>
    </xf>
    <xf numFmtId="169" fontId="1" fillId="0" borderId="29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69" fontId="10" fillId="0" borderId="0" xfId="0" applyNumberFormat="1" applyFont="1" applyBorder="1" applyAlignment="1">
      <alignment vertical="center"/>
    </xf>
    <xf numFmtId="169" fontId="10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3" fillId="0" borderId="0" xfId="65" applyFont="1">
      <alignment/>
      <protection/>
    </xf>
    <xf numFmtId="0" fontId="1" fillId="0" borderId="0" xfId="65" applyFont="1">
      <alignment/>
      <protection/>
    </xf>
    <xf numFmtId="166" fontId="0" fillId="0" borderId="0" xfId="0" applyNumberFormat="1" applyAlignment="1">
      <alignment horizontal="left"/>
    </xf>
    <xf numFmtId="166" fontId="12" fillId="0" borderId="0" xfId="65" applyNumberFormat="1" applyFont="1">
      <alignment/>
      <protection/>
    </xf>
    <xf numFmtId="0" fontId="4" fillId="0" borderId="0" xfId="65" applyFont="1">
      <alignment/>
      <protection/>
    </xf>
    <xf numFmtId="0" fontId="1" fillId="0" borderId="41" xfId="65" applyFont="1" applyBorder="1" applyAlignment="1">
      <alignment horizontal="centerContinuous" vertical="center"/>
      <protection/>
    </xf>
    <xf numFmtId="0" fontId="1" fillId="0" borderId="41" xfId="65" applyFont="1" applyBorder="1" applyAlignment="1">
      <alignment horizontal="centerContinuous"/>
      <protection/>
    </xf>
    <xf numFmtId="0" fontId="1" fillId="0" borderId="42" xfId="65" applyFont="1" applyBorder="1" applyAlignment="1">
      <alignment horizontal="centerContinuous"/>
      <protection/>
    </xf>
    <xf numFmtId="0" fontId="1" fillId="0" borderId="31" xfId="65" applyFont="1" applyBorder="1" applyAlignment="1">
      <alignment horizontal="centerContinuous" vertical="center" wrapText="1"/>
      <protection/>
    </xf>
    <xf numFmtId="0" fontId="1" fillId="0" borderId="35" xfId="65" applyFont="1" applyBorder="1" applyAlignment="1">
      <alignment horizontal="centerContinuous" vertical="center" wrapText="1"/>
      <protection/>
    </xf>
    <xf numFmtId="0" fontId="1" fillId="0" borderId="43" xfId="65" applyFont="1" applyBorder="1" applyAlignment="1">
      <alignment horizontal="center" vertical="center" wrapText="1"/>
      <protection/>
    </xf>
    <xf numFmtId="0" fontId="4" fillId="0" borderId="44" xfId="65" applyFont="1" applyBorder="1" applyAlignment="1">
      <alignment vertical="center" readingOrder="2"/>
      <protection/>
    </xf>
    <xf numFmtId="0" fontId="21" fillId="0" borderId="0" xfId="65" applyFont="1" applyBorder="1" applyAlignment="1">
      <alignment vertical="center"/>
      <protection/>
    </xf>
    <xf numFmtId="0" fontId="1" fillId="0" borderId="45" xfId="65" applyFont="1" applyBorder="1" applyAlignment="1">
      <alignment vertical="center"/>
      <protection/>
    </xf>
    <xf numFmtId="169" fontId="1" fillId="0" borderId="46" xfId="65" applyNumberFormat="1" applyFont="1" applyBorder="1" applyAlignment="1">
      <alignment vertical="center"/>
      <protection/>
    </xf>
    <xf numFmtId="169" fontId="1" fillId="0" borderId="32" xfId="65" applyNumberFormat="1" applyFont="1" applyBorder="1" applyAlignment="1">
      <alignment vertical="center"/>
      <protection/>
    </xf>
    <xf numFmtId="188" fontId="1" fillId="0" borderId="45" xfId="65" applyNumberFormat="1" applyFont="1" applyBorder="1" applyAlignment="1">
      <alignment vertical="center"/>
      <protection/>
    </xf>
    <xf numFmtId="0" fontId="13" fillId="0" borderId="44" xfId="65" applyFont="1" applyBorder="1" applyAlignment="1">
      <alignment vertical="center"/>
      <protection/>
    </xf>
    <xf numFmtId="0" fontId="12" fillId="0" borderId="0" xfId="65" applyFont="1" applyBorder="1" applyAlignment="1">
      <alignment vertical="center"/>
      <protection/>
    </xf>
    <xf numFmtId="169" fontId="1" fillId="0" borderId="22" xfId="65" applyNumberFormat="1" applyFont="1" applyBorder="1" applyAlignment="1">
      <alignment vertical="center"/>
      <protection/>
    </xf>
    <xf numFmtId="0" fontId="13" fillId="0" borderId="47" xfId="65" applyFont="1" applyBorder="1" applyAlignment="1">
      <alignment vertical="center"/>
      <protection/>
    </xf>
    <xf numFmtId="0" fontId="12" fillId="0" borderId="23" xfId="65" applyFont="1" applyBorder="1" applyAlignment="1">
      <alignment vertical="center"/>
      <protection/>
    </xf>
    <xf numFmtId="0" fontId="1" fillId="0" borderId="48" xfId="65" applyFont="1" applyBorder="1" applyAlignment="1">
      <alignment vertical="center"/>
      <protection/>
    </xf>
    <xf numFmtId="169" fontId="1" fillId="0" borderId="24" xfId="65" applyNumberFormat="1" applyFont="1" applyBorder="1" applyAlignment="1">
      <alignment vertical="center"/>
      <protection/>
    </xf>
    <xf numFmtId="169" fontId="1" fillId="0" borderId="38" xfId="65" applyNumberFormat="1" applyFont="1" applyFill="1" applyBorder="1" applyAlignment="1">
      <alignment vertical="center"/>
      <protection/>
    </xf>
    <xf numFmtId="188" fontId="1" fillId="0" borderId="49" xfId="65" applyNumberFormat="1" applyFont="1" applyBorder="1" applyAlignment="1">
      <alignment vertical="center"/>
      <protection/>
    </xf>
    <xf numFmtId="0" fontId="4" fillId="0" borderId="44" xfId="65" applyFont="1" applyBorder="1" applyAlignment="1">
      <alignment vertical="center"/>
      <protection/>
    </xf>
    <xf numFmtId="0" fontId="12" fillId="0" borderId="0" xfId="65" applyFont="1" applyBorder="1" applyAlignment="1">
      <alignment vertical="top"/>
      <protection/>
    </xf>
    <xf numFmtId="0" fontId="1" fillId="0" borderId="45" xfId="65" applyFont="1" applyBorder="1" applyAlignment="1">
      <alignment horizontal="left" vertical="center"/>
      <protection/>
    </xf>
    <xf numFmtId="0" fontId="13" fillId="0" borderId="44" xfId="65" applyFont="1" applyBorder="1">
      <alignment/>
      <protection/>
    </xf>
    <xf numFmtId="0" fontId="12" fillId="0" borderId="0" xfId="65" applyFont="1" applyBorder="1" applyAlignment="1">
      <alignment horizontal="left"/>
      <protection/>
    </xf>
    <xf numFmtId="169" fontId="1" fillId="0" borderId="37" xfId="65" applyNumberFormat="1" applyFont="1" applyBorder="1" applyAlignment="1">
      <alignment vertical="center"/>
      <protection/>
    </xf>
    <xf numFmtId="0" fontId="13" fillId="0" borderId="50" xfId="65" applyFont="1" applyBorder="1" applyAlignment="1">
      <alignment vertical="center"/>
      <protection/>
    </xf>
    <xf numFmtId="0" fontId="12" fillId="0" borderId="0" xfId="65" applyFont="1" applyBorder="1" applyAlignment="1">
      <alignment horizontal="left" vertical="center"/>
      <protection/>
    </xf>
    <xf numFmtId="169" fontId="1" fillId="0" borderId="38" xfId="65" applyNumberFormat="1" applyFont="1" applyBorder="1" applyAlignment="1">
      <alignment vertical="center"/>
      <protection/>
    </xf>
    <xf numFmtId="0" fontId="4" fillId="0" borderId="51" xfId="65" applyFont="1" applyBorder="1" applyAlignment="1">
      <alignment vertical="center"/>
      <protection/>
    </xf>
    <xf numFmtId="0" fontId="21" fillId="0" borderId="18" xfId="65" applyFont="1" applyBorder="1" applyAlignment="1">
      <alignment vertical="center"/>
      <protection/>
    </xf>
    <xf numFmtId="0" fontId="13" fillId="0" borderId="52" xfId="65" applyFont="1" applyBorder="1" applyAlignment="1">
      <alignment vertical="center"/>
      <protection/>
    </xf>
    <xf numFmtId="0" fontId="12" fillId="0" borderId="53" xfId="65" applyFont="1" applyBorder="1" applyAlignment="1">
      <alignment vertical="center"/>
      <protection/>
    </xf>
    <xf numFmtId="0" fontId="1" fillId="0" borderId="54" xfId="65" applyFont="1" applyBorder="1" applyAlignment="1">
      <alignment vertical="center"/>
      <protection/>
    </xf>
    <xf numFmtId="169" fontId="1" fillId="0" borderId="55" xfId="65" applyNumberFormat="1" applyFont="1" applyBorder="1" applyAlignment="1">
      <alignment vertical="center"/>
      <protection/>
    </xf>
    <xf numFmtId="169" fontId="1" fillId="0" borderId="56" xfId="65" applyNumberFormat="1" applyFont="1" applyBorder="1" applyAlignment="1">
      <alignment vertical="center"/>
      <protection/>
    </xf>
    <xf numFmtId="188" fontId="1" fillId="0" borderId="57" xfId="65" applyNumberFormat="1" applyFont="1" applyBorder="1" applyAlignment="1">
      <alignment vertical="center"/>
      <protection/>
    </xf>
    <xf numFmtId="0" fontId="1" fillId="0" borderId="1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5" xfId="0" applyFont="1" applyBorder="1" applyAlignment="1">
      <alignment horizontal="center"/>
    </xf>
    <xf numFmtId="0" fontId="1" fillId="0" borderId="40" xfId="0" applyFont="1" applyBorder="1" applyAlignment="1">
      <alignment horizontal="centerContinuous" wrapText="1"/>
    </xf>
    <xf numFmtId="0" fontId="1" fillId="0" borderId="13" xfId="0" applyFont="1" applyBorder="1" applyAlignment="1">
      <alignment horizontal="centerContinuous" wrapText="1"/>
    </xf>
    <xf numFmtId="0" fontId="1" fillId="0" borderId="31" xfId="0" applyFont="1" applyBorder="1" applyAlignment="1">
      <alignment horizontal="centerContinuous" wrapText="1"/>
    </xf>
    <xf numFmtId="0" fontId="4" fillId="0" borderId="14" xfId="0" applyFont="1" applyBorder="1" applyAlignment="1">
      <alignment horizontal="left" wrapText="1"/>
    </xf>
    <xf numFmtId="0" fontId="1" fillId="0" borderId="36" xfId="0" applyFont="1" applyBorder="1" applyAlignment="1">
      <alignment horizontal="centerContinuous" wrapText="1"/>
    </xf>
    <xf numFmtId="0" fontId="1" fillId="0" borderId="11" xfId="0" applyFont="1" applyBorder="1" applyAlignment="1">
      <alignment horizontal="centerContinuous" wrapText="1"/>
    </xf>
    <xf numFmtId="0" fontId="1" fillId="0" borderId="39" xfId="0" applyFont="1" applyBorder="1" applyAlignment="1">
      <alignment horizontal="centerContinuous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left"/>
    </xf>
    <xf numFmtId="169" fontId="1" fillId="0" borderId="22" xfId="0" applyNumberFormat="1" applyFont="1" applyBorder="1" applyAlignment="1">
      <alignment/>
    </xf>
    <xf numFmtId="169" fontId="1" fillId="0" borderId="37" xfId="0" applyNumberFormat="1" applyFont="1" applyBorder="1" applyAlignment="1">
      <alignment/>
    </xf>
    <xf numFmtId="188" fontId="1" fillId="0" borderId="15" xfId="0" applyNumberFormat="1" applyFont="1" applyBorder="1" applyAlignment="1">
      <alignment/>
    </xf>
    <xf numFmtId="169" fontId="1" fillId="0" borderId="32" xfId="0" applyNumberFormat="1" applyFont="1" applyBorder="1" applyAlignment="1">
      <alignment/>
    </xf>
    <xf numFmtId="188" fontId="1" fillId="0" borderId="21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wrapText="1"/>
    </xf>
    <xf numFmtId="0" fontId="1" fillId="0" borderId="0" xfId="65" applyFont="1">
      <alignment/>
      <protection/>
    </xf>
    <xf numFmtId="0" fontId="4" fillId="0" borderId="58" xfId="0" applyFont="1" applyBorder="1" applyAlignment="1">
      <alignment horizontal="left" wrapText="1"/>
    </xf>
    <xf numFmtId="0" fontId="1" fillId="0" borderId="59" xfId="0" applyFont="1" applyBorder="1" applyAlignment="1">
      <alignment horizontal="left"/>
    </xf>
    <xf numFmtId="169" fontId="1" fillId="0" borderId="60" xfId="0" applyNumberFormat="1" applyFont="1" applyBorder="1" applyAlignment="1">
      <alignment/>
    </xf>
    <xf numFmtId="169" fontId="1" fillId="0" borderId="61" xfId="0" applyNumberFormat="1" applyFont="1" applyBorder="1" applyAlignment="1">
      <alignment/>
    </xf>
    <xf numFmtId="188" fontId="1" fillId="0" borderId="59" xfId="0" applyNumberFormat="1" applyFont="1" applyBorder="1" applyAlignment="1">
      <alignment/>
    </xf>
    <xf numFmtId="169" fontId="1" fillId="0" borderId="62" xfId="0" applyNumberFormat="1" applyFont="1" applyBorder="1" applyAlignment="1">
      <alignment/>
    </xf>
    <xf numFmtId="188" fontId="1" fillId="0" borderId="63" xfId="0" applyNumberFormat="1" applyFont="1" applyBorder="1" applyAlignment="1">
      <alignment/>
    </xf>
    <xf numFmtId="0" fontId="13" fillId="0" borderId="0" xfId="65" applyFont="1">
      <alignment/>
      <protection/>
    </xf>
    <xf numFmtId="0" fontId="4" fillId="0" borderId="0" xfId="0" applyFont="1" applyAlignment="1">
      <alignment/>
    </xf>
    <xf numFmtId="188" fontId="13" fillId="0" borderId="21" xfId="0" applyNumberFormat="1" applyFont="1" applyBorder="1" applyAlignment="1">
      <alignment/>
    </xf>
    <xf numFmtId="0" fontId="1" fillId="0" borderId="64" xfId="0" applyFont="1" applyBorder="1" applyAlignment="1">
      <alignment/>
    </xf>
    <xf numFmtId="0" fontId="1" fillId="0" borderId="65" xfId="0" applyFont="1" applyBorder="1" applyAlignment="1">
      <alignment horizontal="left"/>
    </xf>
    <xf numFmtId="169" fontId="1" fillId="0" borderId="66" xfId="0" applyNumberFormat="1" applyFont="1" applyBorder="1" applyAlignment="1">
      <alignment/>
    </xf>
    <xf numFmtId="169" fontId="1" fillId="0" borderId="67" xfId="0" applyNumberFormat="1" applyFont="1" applyBorder="1" applyAlignment="1">
      <alignment/>
    </xf>
    <xf numFmtId="188" fontId="1" fillId="0" borderId="65" xfId="0" applyNumberFormat="1" applyFont="1" applyBorder="1" applyAlignment="1">
      <alignment/>
    </xf>
    <xf numFmtId="169" fontId="1" fillId="0" borderId="68" xfId="0" applyNumberFormat="1" applyFont="1" applyBorder="1" applyAlignment="1">
      <alignment/>
    </xf>
    <xf numFmtId="188" fontId="1" fillId="0" borderId="69" xfId="0" applyNumberFormat="1" applyFont="1" applyBorder="1" applyAlignment="1">
      <alignment/>
    </xf>
    <xf numFmtId="0" fontId="4" fillId="0" borderId="14" xfId="0" applyFont="1" applyBorder="1" applyAlignment="1">
      <alignment wrapText="1"/>
    </xf>
    <xf numFmtId="169" fontId="1" fillId="0" borderId="14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left"/>
    </xf>
    <xf numFmtId="169" fontId="1" fillId="0" borderId="16" xfId="0" applyNumberFormat="1" applyFont="1" applyBorder="1" applyAlignment="1">
      <alignment/>
    </xf>
    <xf numFmtId="169" fontId="1" fillId="0" borderId="38" xfId="0" applyNumberFormat="1" applyFont="1" applyBorder="1" applyAlignment="1">
      <alignment/>
    </xf>
    <xf numFmtId="188" fontId="1" fillId="0" borderId="33" xfId="0" applyNumberFormat="1" applyFont="1" applyBorder="1" applyAlignment="1">
      <alignment/>
    </xf>
    <xf numFmtId="169" fontId="1" fillId="0" borderId="24" xfId="0" applyNumberFormat="1" applyFont="1" applyBorder="1" applyAlignment="1">
      <alignment/>
    </xf>
    <xf numFmtId="169" fontId="1" fillId="0" borderId="30" xfId="0" applyNumberFormat="1" applyFont="1" applyBorder="1" applyAlignment="1">
      <alignment/>
    </xf>
    <xf numFmtId="188" fontId="1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left"/>
    </xf>
    <xf numFmtId="166" fontId="1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14" fontId="11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9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23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horizontal="centerContinuous" vertical="center"/>
    </xf>
    <xf numFmtId="0" fontId="1" fillId="0" borderId="16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30" xfId="0" applyFont="1" applyBorder="1" applyAlignment="1">
      <alignment horizontal="centerContinuous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Continuous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/>
    </xf>
    <xf numFmtId="172" fontId="1" fillId="0" borderId="25" xfId="0" applyNumberFormat="1" applyFont="1" applyBorder="1" applyAlignment="1">
      <alignment horizontal="right"/>
    </xf>
    <xf numFmtId="172" fontId="1" fillId="0" borderId="32" xfId="0" applyNumberFormat="1" applyFont="1" applyBorder="1" applyAlignment="1">
      <alignment horizontal="right"/>
    </xf>
    <xf numFmtId="172" fontId="1" fillId="0" borderId="15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center"/>
    </xf>
    <xf numFmtId="172" fontId="1" fillId="0" borderId="21" xfId="0" applyNumberFormat="1" applyFont="1" applyBorder="1" applyAlignment="1">
      <alignment horizontal="right"/>
    </xf>
    <xf numFmtId="172" fontId="5" fillId="0" borderId="0" xfId="0" applyNumberFormat="1" applyFont="1" applyAlignment="1">
      <alignment/>
    </xf>
    <xf numFmtId="189" fontId="1" fillId="0" borderId="32" xfId="0" applyNumberFormat="1" applyFont="1" applyBorder="1" applyAlignment="1">
      <alignment/>
    </xf>
    <xf numFmtId="189" fontId="1" fillId="0" borderId="21" xfId="0" applyNumberFormat="1" applyFont="1" applyBorder="1" applyAlignment="1">
      <alignment/>
    </xf>
    <xf numFmtId="172" fontId="1" fillId="0" borderId="27" xfId="0" applyNumberFormat="1" applyFont="1" applyBorder="1" applyAlignment="1">
      <alignment horizontal="right"/>
    </xf>
    <xf numFmtId="172" fontId="1" fillId="0" borderId="33" xfId="0" applyNumberFormat="1" applyFont="1" applyBorder="1" applyAlignment="1">
      <alignment horizontal="right"/>
    </xf>
    <xf numFmtId="189" fontId="1" fillId="0" borderId="33" xfId="0" applyNumberFormat="1" applyFont="1" applyBorder="1" applyAlignment="1">
      <alignment/>
    </xf>
    <xf numFmtId="172" fontId="1" fillId="0" borderId="18" xfId="0" applyNumberFormat="1" applyFont="1" applyBorder="1" applyAlignment="1">
      <alignment horizontal="right"/>
    </xf>
    <xf numFmtId="172" fontId="1" fillId="0" borderId="20" xfId="0" applyNumberFormat="1" applyFont="1" applyBorder="1" applyAlignment="1">
      <alignment horizontal="right"/>
    </xf>
    <xf numFmtId="172" fontId="1" fillId="0" borderId="39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center"/>
    </xf>
    <xf numFmtId="190" fontId="1" fillId="0" borderId="16" xfId="0" applyNumberFormat="1" applyFont="1" applyBorder="1" applyAlignment="1">
      <alignment/>
    </xf>
    <xf numFmtId="172" fontId="1" fillId="0" borderId="24" xfId="0" applyNumberFormat="1" applyFont="1" applyBorder="1" applyAlignment="1">
      <alignment horizontal="right"/>
    </xf>
    <xf numFmtId="189" fontId="1" fillId="0" borderId="24" xfId="0" applyNumberFormat="1" applyFont="1" applyBorder="1" applyAlignment="1">
      <alignment/>
    </xf>
    <xf numFmtId="189" fontId="1" fillId="0" borderId="17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9" xfId="0" applyFont="1" applyBorder="1" applyAlignment="1">
      <alignment/>
    </xf>
    <xf numFmtId="172" fontId="1" fillId="0" borderId="28" xfId="0" applyNumberFormat="1" applyFont="1" applyBorder="1" applyAlignment="1">
      <alignment horizontal="right"/>
    </xf>
    <xf numFmtId="172" fontId="1" fillId="0" borderId="30" xfId="0" applyNumberFormat="1" applyFont="1" applyBorder="1" applyAlignment="1">
      <alignment horizontal="right"/>
    </xf>
    <xf numFmtId="1" fontId="1" fillId="0" borderId="23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" fontId="1" fillId="0" borderId="21" xfId="0" applyNumberFormat="1" applyFont="1" applyBorder="1" applyAlignment="1" quotePrefix="1">
      <alignment horizontal="center"/>
    </xf>
    <xf numFmtId="1" fontId="1" fillId="0" borderId="32" xfId="0" applyNumberFormat="1" applyFont="1" applyBorder="1" applyAlignment="1" quotePrefix="1">
      <alignment horizontal="center"/>
    </xf>
    <xf numFmtId="1" fontId="5" fillId="0" borderId="0" xfId="0" applyNumberFormat="1" applyFont="1" applyAlignment="1">
      <alignment/>
    </xf>
    <xf numFmtId="1" fontId="1" fillId="0" borderId="32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191" fontId="1" fillId="0" borderId="24" xfId="0" applyNumberFormat="1" applyFont="1" applyBorder="1" applyAlignment="1">
      <alignment horizontal="right"/>
    </xf>
    <xf numFmtId="191" fontId="1" fillId="0" borderId="17" xfId="0" applyNumberFormat="1" applyFont="1" applyBorder="1" applyAlignment="1">
      <alignment horizontal="right"/>
    </xf>
    <xf numFmtId="1" fontId="1" fillId="0" borderId="33" xfId="0" applyNumberFormat="1" applyFont="1" applyBorder="1" applyAlignment="1" quotePrefix="1">
      <alignment horizontal="center"/>
    </xf>
    <xf numFmtId="1" fontId="1" fillId="0" borderId="17" xfId="0" applyNumberFormat="1" applyFont="1" applyBorder="1" applyAlignment="1" quotePrefix="1">
      <alignment horizontal="center"/>
    </xf>
    <xf numFmtId="1" fontId="1" fillId="0" borderId="3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4" fontId="12" fillId="0" borderId="14" xfId="0" applyNumberFormat="1" applyFont="1" applyBorder="1" applyAlignment="1">
      <alignment horizontal="right"/>
    </xf>
    <xf numFmtId="184" fontId="12" fillId="0" borderId="36" xfId="0" applyNumberFormat="1" applyFont="1" applyBorder="1" applyAlignment="1">
      <alignment horizontal="right"/>
    </xf>
    <xf numFmtId="184" fontId="12" fillId="0" borderId="0" xfId="0" applyNumberFormat="1" applyFont="1" applyBorder="1" applyAlignment="1">
      <alignment horizontal="right"/>
    </xf>
    <xf numFmtId="184" fontId="12" fillId="0" borderId="37" xfId="0" applyNumberFormat="1" applyFont="1" applyBorder="1" applyAlignment="1">
      <alignment horizontal="right"/>
    </xf>
    <xf numFmtId="184" fontId="12" fillId="0" borderId="15" xfId="0" applyNumberFormat="1" applyFont="1" applyBorder="1" applyAlignment="1">
      <alignment horizontal="right"/>
    </xf>
    <xf numFmtId="183" fontId="12" fillId="0" borderId="0" xfId="0" applyNumberFormat="1" applyFont="1" applyBorder="1" applyAlignment="1">
      <alignment horizontal="center"/>
    </xf>
    <xf numFmtId="183" fontId="12" fillId="0" borderId="37" xfId="0" applyNumberFormat="1" applyFont="1" applyBorder="1" applyAlignment="1">
      <alignment horizontal="center"/>
    </xf>
    <xf numFmtId="183" fontId="12" fillId="0" borderId="21" xfId="0" applyNumberFormat="1" applyFont="1" applyBorder="1" applyAlignment="1">
      <alignment horizontal="center"/>
    </xf>
    <xf numFmtId="184" fontId="12" fillId="0" borderId="10" xfId="0" applyNumberFormat="1" applyFont="1" applyBorder="1" applyAlignment="1">
      <alignment horizontal="right"/>
    </xf>
    <xf numFmtId="184" fontId="12" fillId="0" borderId="18" xfId="0" applyNumberFormat="1" applyFont="1" applyBorder="1" applyAlignment="1">
      <alignment horizontal="right"/>
    </xf>
    <xf numFmtId="184" fontId="12" fillId="0" borderId="11" xfId="0" applyNumberFormat="1" applyFont="1" applyBorder="1" applyAlignment="1">
      <alignment horizontal="right"/>
    </xf>
    <xf numFmtId="184" fontId="12" fillId="0" borderId="16" xfId="0" applyNumberFormat="1" applyFont="1" applyBorder="1" applyAlignment="1">
      <alignment horizontal="right"/>
    </xf>
    <xf numFmtId="184" fontId="12" fillId="0" borderId="38" xfId="0" applyNumberFormat="1" applyFont="1" applyBorder="1" applyAlignment="1">
      <alignment horizontal="right"/>
    </xf>
    <xf numFmtId="184" fontId="12" fillId="0" borderId="23" xfId="0" applyNumberFormat="1" applyFont="1" applyBorder="1" applyAlignment="1">
      <alignment horizontal="right"/>
    </xf>
    <xf numFmtId="183" fontId="12" fillId="0" borderId="16" xfId="0" applyNumberFormat="1" applyFont="1" applyBorder="1" applyAlignment="1">
      <alignment horizontal="center"/>
    </xf>
    <xf numFmtId="183" fontId="12" fillId="0" borderId="38" xfId="0" applyNumberFormat="1" applyFont="1" applyBorder="1" applyAlignment="1">
      <alignment horizontal="center"/>
    </xf>
    <xf numFmtId="184" fontId="12" fillId="0" borderId="17" xfId="0" applyNumberFormat="1" applyFont="1" applyBorder="1" applyAlignment="1">
      <alignment horizontal="right"/>
    </xf>
    <xf numFmtId="184" fontId="12" fillId="0" borderId="12" xfId="0" applyNumberFormat="1" applyFont="1" applyBorder="1" applyAlignment="1">
      <alignment horizontal="right"/>
    </xf>
    <xf numFmtId="184" fontId="12" fillId="0" borderId="35" xfId="0" applyNumberFormat="1" applyFont="1" applyBorder="1" applyAlignment="1">
      <alignment horizontal="right"/>
    </xf>
    <xf numFmtId="184" fontId="12" fillId="0" borderId="13" xfId="0" applyNumberFormat="1" applyFont="1" applyBorder="1" applyAlignment="1">
      <alignment horizontal="right"/>
    </xf>
    <xf numFmtId="184" fontId="12" fillId="0" borderId="29" xfId="0" applyNumberFormat="1" applyFont="1" applyBorder="1" applyAlignment="1">
      <alignment horizontal="right"/>
    </xf>
    <xf numFmtId="0" fontId="0" fillId="0" borderId="0" xfId="0" applyFont="1" applyAlignment="1">
      <alignment/>
    </xf>
    <xf numFmtId="183" fontId="12" fillId="0" borderId="33" xfId="0" applyNumberFormat="1" applyFont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13" fillId="0" borderId="0" xfId="66" applyFont="1">
      <alignment/>
      <protection/>
    </xf>
    <xf numFmtId="0" fontId="12" fillId="0" borderId="0" xfId="66" applyFont="1">
      <alignment/>
      <protection/>
    </xf>
    <xf numFmtId="0" fontId="3" fillId="0" borderId="0" xfId="66" applyFont="1" applyAlignment="1">
      <alignment vertical="center"/>
      <protection/>
    </xf>
    <xf numFmtId="0" fontId="1" fillId="0" borderId="26" xfId="66" applyFont="1" applyBorder="1" applyAlignment="1">
      <alignment horizontal="centerContinuous"/>
      <protection/>
    </xf>
    <xf numFmtId="0" fontId="1" fillId="0" borderId="12" xfId="66" applyFont="1" applyBorder="1" applyAlignment="1">
      <alignment horizontal="centerContinuous"/>
      <protection/>
    </xf>
    <xf numFmtId="0" fontId="1" fillId="0" borderId="0" xfId="66" applyFont="1">
      <alignment/>
      <protection/>
    </xf>
    <xf numFmtId="0" fontId="1" fillId="0" borderId="31" xfId="66" applyFont="1" applyBorder="1" applyAlignment="1">
      <alignment horizontal="centerContinuous" vertical="center"/>
      <protection/>
    </xf>
    <xf numFmtId="0" fontId="1" fillId="0" borderId="35" xfId="66" applyFont="1" applyBorder="1" applyAlignment="1">
      <alignment horizontal="centerContinuous" vertical="center"/>
      <protection/>
    </xf>
    <xf numFmtId="0" fontId="1" fillId="0" borderId="35" xfId="66" applyFont="1" applyBorder="1" applyAlignment="1">
      <alignment horizontal="centerContinuous" vertical="center" wrapText="1"/>
      <protection/>
    </xf>
    <xf numFmtId="0" fontId="1" fillId="0" borderId="70" xfId="66" applyFont="1" applyBorder="1" applyAlignment="1">
      <alignment horizontal="centerContinuous" vertical="center" wrapText="1"/>
      <protection/>
    </xf>
    <xf numFmtId="0" fontId="1" fillId="0" borderId="27" xfId="66" applyFont="1" applyBorder="1" applyAlignment="1">
      <alignment horizontal="centerContinuous" vertical="center"/>
      <protection/>
    </xf>
    <xf numFmtId="0" fontId="1" fillId="0" borderId="26" xfId="66" applyFont="1" applyBorder="1" applyAlignment="1">
      <alignment vertical="center"/>
      <protection/>
    </xf>
    <xf numFmtId="183" fontId="1" fillId="0" borderId="39" xfId="66" applyNumberFormat="1" applyFont="1" applyBorder="1" applyAlignment="1">
      <alignment horizontal="center" vertical="center"/>
      <protection/>
    </xf>
    <xf numFmtId="183" fontId="1" fillId="0" borderId="18" xfId="66" applyNumberFormat="1" applyFont="1" applyBorder="1" applyAlignment="1">
      <alignment horizontal="center" vertical="center"/>
      <protection/>
    </xf>
    <xf numFmtId="183" fontId="1" fillId="0" borderId="26" xfId="66" applyNumberFormat="1" applyFont="1" applyBorder="1" applyAlignment="1">
      <alignment horizontal="center" vertical="center"/>
      <protection/>
    </xf>
    <xf numFmtId="0" fontId="1" fillId="0" borderId="25" xfId="66" applyFont="1" applyBorder="1" applyAlignment="1">
      <alignment vertical="center"/>
      <protection/>
    </xf>
    <xf numFmtId="183" fontId="1" fillId="0" borderId="32" xfId="66" applyNumberFormat="1" applyFont="1" applyBorder="1" applyAlignment="1">
      <alignment horizontal="center" vertical="center"/>
      <protection/>
    </xf>
    <xf numFmtId="183" fontId="1" fillId="0" borderId="0" xfId="66" applyNumberFormat="1" applyFont="1" applyBorder="1" applyAlignment="1">
      <alignment horizontal="center" vertical="center"/>
      <protection/>
    </xf>
    <xf numFmtId="183" fontId="1" fillId="0" borderId="25" xfId="66" applyNumberFormat="1" applyFont="1" applyBorder="1" applyAlignment="1">
      <alignment horizontal="center" vertical="center"/>
      <protection/>
    </xf>
    <xf numFmtId="0" fontId="1" fillId="0" borderId="28" xfId="66" applyFont="1" applyBorder="1" applyAlignment="1">
      <alignment vertical="center"/>
      <protection/>
    </xf>
    <xf numFmtId="183" fontId="1" fillId="0" borderId="34" xfId="66" applyNumberFormat="1" applyFont="1" applyBorder="1" applyAlignment="1">
      <alignment horizontal="center" vertical="center"/>
      <protection/>
    </xf>
    <xf numFmtId="168" fontId="1" fillId="0" borderId="29" xfId="66" applyNumberFormat="1" applyFont="1" applyBorder="1" applyAlignment="1">
      <alignment horizontal="center" vertical="center"/>
      <protection/>
    </xf>
    <xf numFmtId="183" fontId="1" fillId="0" borderId="28" xfId="66" applyNumberFormat="1" applyFont="1" applyBorder="1" applyAlignment="1">
      <alignment horizontal="center" vertical="center"/>
      <protection/>
    </xf>
    <xf numFmtId="0" fontId="1" fillId="0" borderId="18" xfId="66" applyFont="1" applyBorder="1" applyAlignment="1">
      <alignment horizontal="centerContinuous"/>
      <protection/>
    </xf>
    <xf numFmtId="0" fontId="1" fillId="0" borderId="11" xfId="66" applyFont="1" applyBorder="1" applyAlignment="1">
      <alignment horizontal="centerContinuous"/>
      <protection/>
    </xf>
    <xf numFmtId="0" fontId="1" fillId="0" borderId="29" xfId="66" applyFont="1" applyBorder="1" applyAlignment="1">
      <alignment horizontal="centerContinuous"/>
      <protection/>
    </xf>
    <xf numFmtId="183" fontId="1" fillId="0" borderId="22" xfId="66" applyNumberFormat="1" applyFont="1" applyBorder="1" applyAlignment="1">
      <alignment horizontal="center" vertical="center"/>
      <protection/>
    </xf>
    <xf numFmtId="183" fontId="1" fillId="0" borderId="37" xfId="66" applyNumberFormat="1" applyFont="1" applyBorder="1" applyAlignment="1">
      <alignment horizontal="center" vertical="center"/>
      <protection/>
    </xf>
    <xf numFmtId="183" fontId="1" fillId="0" borderId="21" xfId="66" applyNumberFormat="1" applyFont="1" applyBorder="1" applyAlignment="1">
      <alignment horizontal="center" vertical="center"/>
      <protection/>
    </xf>
    <xf numFmtId="0" fontId="13" fillId="0" borderId="0" xfId="67" applyFont="1">
      <alignment/>
      <protection/>
    </xf>
    <xf numFmtId="0" fontId="12" fillId="0" borderId="0" xfId="67" applyFont="1">
      <alignment/>
      <protection/>
    </xf>
    <xf numFmtId="0" fontId="1" fillId="0" borderId="29" xfId="67" applyFont="1" applyBorder="1" applyAlignment="1">
      <alignment horizontal="centerContinuous" vertical="center"/>
      <protection/>
    </xf>
    <xf numFmtId="0" fontId="1" fillId="0" borderId="13" xfId="67" applyFont="1" applyBorder="1" applyAlignment="1">
      <alignment horizontal="centerContinuous" vertical="center"/>
      <protection/>
    </xf>
    <xf numFmtId="0" fontId="1" fillId="0" borderId="30" xfId="67" applyFont="1" applyBorder="1" applyAlignment="1">
      <alignment horizontal="centerContinuous" vertical="center" wrapText="1"/>
      <protection/>
    </xf>
    <xf numFmtId="0" fontId="1" fillId="0" borderId="30" xfId="67" applyFont="1" applyBorder="1" applyAlignment="1">
      <alignment horizontal="centerContinuous" vertical="center"/>
      <protection/>
    </xf>
    <xf numFmtId="0" fontId="1" fillId="0" borderId="19" xfId="67" applyFont="1" applyBorder="1" applyAlignment="1">
      <alignment horizontal="centerContinuous" vertical="center"/>
      <protection/>
    </xf>
    <xf numFmtId="0" fontId="1" fillId="0" borderId="10" xfId="67" applyFont="1" applyBorder="1" applyAlignment="1">
      <alignment horizontal="center"/>
      <protection/>
    </xf>
    <xf numFmtId="0" fontId="3" fillId="0" borderId="18" xfId="67" applyFont="1" applyBorder="1" applyAlignment="1">
      <alignment horizontal="right"/>
      <protection/>
    </xf>
    <xf numFmtId="0" fontId="3" fillId="0" borderId="11" xfId="67" applyFont="1" applyBorder="1" applyAlignment="1">
      <alignment/>
      <protection/>
    </xf>
    <xf numFmtId="168" fontId="1" fillId="0" borderId="39" xfId="67" applyNumberFormat="1" applyFont="1" applyBorder="1" applyAlignment="1">
      <alignment/>
      <protection/>
    </xf>
    <xf numFmtId="168" fontId="1" fillId="0" borderId="11" xfId="67" applyNumberFormat="1" applyFont="1" applyBorder="1" applyAlignment="1">
      <alignment/>
      <protection/>
    </xf>
    <xf numFmtId="0" fontId="1" fillId="0" borderId="14" xfId="67" applyFont="1" applyBorder="1" applyAlignment="1">
      <alignment horizontal="center"/>
      <protection/>
    </xf>
    <xf numFmtId="0" fontId="3" fillId="0" borderId="0" xfId="67" applyFont="1" applyBorder="1" applyAlignment="1">
      <alignment horizontal="right"/>
      <protection/>
    </xf>
    <xf numFmtId="0" fontId="3" fillId="0" borderId="15" xfId="67" applyFont="1" applyBorder="1" applyAlignment="1">
      <alignment/>
      <protection/>
    </xf>
    <xf numFmtId="168" fontId="1" fillId="0" borderId="32" xfId="67" applyNumberFormat="1" applyFont="1" applyBorder="1" applyAlignment="1">
      <alignment/>
      <protection/>
    </xf>
    <xf numFmtId="168" fontId="1" fillId="0" borderId="15" xfId="67" applyNumberFormat="1" applyFont="1" applyBorder="1" applyAlignment="1">
      <alignment/>
      <protection/>
    </xf>
    <xf numFmtId="0" fontId="3" fillId="0" borderId="15" xfId="67" applyFont="1" applyBorder="1" applyAlignment="1">
      <alignment horizontal="center"/>
      <protection/>
    </xf>
    <xf numFmtId="0" fontId="1" fillId="0" borderId="16" xfId="67" applyFont="1" applyBorder="1" applyAlignment="1">
      <alignment horizontal="center"/>
      <protection/>
    </xf>
    <xf numFmtId="0" fontId="3" fillId="0" borderId="17" xfId="67" applyFont="1" applyBorder="1" applyAlignment="1">
      <alignment horizontal="center"/>
      <protection/>
    </xf>
    <xf numFmtId="0" fontId="3" fillId="0" borderId="28" xfId="67" applyFont="1" applyBorder="1" applyAlignment="1">
      <alignment horizontal="centerContinuous"/>
      <protection/>
    </xf>
    <xf numFmtId="0" fontId="3" fillId="0" borderId="12" xfId="67" applyFont="1" applyBorder="1" applyAlignment="1">
      <alignment horizontal="centerContinuous"/>
      <protection/>
    </xf>
    <xf numFmtId="0" fontId="1" fillId="0" borderId="13" xfId="67" applyFont="1" applyBorder="1" applyAlignment="1">
      <alignment horizontal="centerContinuous"/>
      <protection/>
    </xf>
    <xf numFmtId="168" fontId="1" fillId="0" borderId="34" xfId="67" applyNumberFormat="1" applyFont="1" applyBorder="1" applyAlignment="1">
      <alignment/>
      <protection/>
    </xf>
    <xf numFmtId="168" fontId="1" fillId="0" borderId="35" xfId="67" applyNumberFormat="1" applyFont="1" applyBorder="1" applyAlignment="1">
      <alignment/>
      <protection/>
    </xf>
    <xf numFmtId="168" fontId="1" fillId="0" borderId="13" xfId="67" applyNumberFormat="1" applyFont="1" applyBorder="1" applyAlignment="1">
      <alignment/>
      <protection/>
    </xf>
    <xf numFmtId="168" fontId="1" fillId="0" borderId="37" xfId="67" applyNumberFormat="1" applyFont="1" applyBorder="1" applyAlignment="1">
      <alignment/>
      <protection/>
    </xf>
    <xf numFmtId="0" fontId="1" fillId="0" borderId="12" xfId="67" applyFont="1" applyBorder="1" applyAlignment="1">
      <alignment horizontal="centerContinuous"/>
      <protection/>
    </xf>
    <xf numFmtId="168" fontId="1" fillId="0" borderId="70" xfId="67" applyNumberFormat="1" applyFont="1" applyBorder="1" applyAlignment="1">
      <alignment/>
      <protection/>
    </xf>
    <xf numFmtId="168" fontId="1" fillId="0" borderId="19" xfId="67" applyNumberFormat="1" applyFont="1" applyBorder="1" applyAlignment="1">
      <alignment/>
      <protection/>
    </xf>
    <xf numFmtId="168" fontId="1" fillId="0" borderId="10" xfId="67" applyNumberFormat="1" applyFont="1" applyBorder="1">
      <alignment/>
      <protection/>
    </xf>
    <xf numFmtId="168" fontId="1" fillId="0" borderId="36" xfId="67" applyNumberFormat="1" applyFont="1" applyBorder="1" applyAlignment="1">
      <alignment/>
      <protection/>
    </xf>
    <xf numFmtId="168" fontId="1" fillId="0" borderId="11" xfId="67" applyNumberFormat="1" applyFont="1" applyBorder="1">
      <alignment/>
      <protection/>
    </xf>
    <xf numFmtId="168" fontId="1" fillId="0" borderId="14" xfId="67" applyNumberFormat="1" applyFont="1" applyBorder="1">
      <alignment/>
      <protection/>
    </xf>
    <xf numFmtId="168" fontId="1" fillId="0" borderId="15" xfId="67" applyNumberFormat="1" applyFont="1" applyBorder="1">
      <alignment/>
      <protection/>
    </xf>
    <xf numFmtId="0" fontId="1" fillId="0" borderId="29" xfId="67" applyFont="1" applyBorder="1" applyAlignment="1">
      <alignment horizontal="centerContinuous"/>
      <protection/>
    </xf>
    <xf numFmtId="0" fontId="12" fillId="0" borderId="0" xfId="67" applyFont="1" applyAlignment="1">
      <alignment/>
      <protection/>
    </xf>
    <xf numFmtId="0" fontId="12" fillId="0" borderId="0" xfId="67" applyFont="1" applyBorder="1" applyAlignment="1">
      <alignment/>
      <protection/>
    </xf>
    <xf numFmtId="0" fontId="13" fillId="0" borderId="0" xfId="68" applyFont="1" applyAlignment="1" quotePrefix="1">
      <alignment horizontal="left"/>
      <protection/>
    </xf>
    <xf numFmtId="0" fontId="1" fillId="0" borderId="0" xfId="68" applyFont="1">
      <alignment/>
      <protection/>
    </xf>
    <xf numFmtId="0" fontId="1" fillId="0" borderId="29" xfId="68" applyFont="1" applyBorder="1" applyAlignment="1">
      <alignment horizontal="centerContinuous" vertical="center"/>
      <protection/>
    </xf>
    <xf numFmtId="0" fontId="1" fillId="0" borderId="13" xfId="68" applyFont="1" applyBorder="1" applyAlignment="1">
      <alignment horizontal="centerContinuous" vertical="center"/>
      <protection/>
    </xf>
    <xf numFmtId="0" fontId="1" fillId="0" borderId="30" xfId="68" applyFont="1" applyBorder="1" applyAlignment="1">
      <alignment horizontal="centerContinuous" vertical="center" wrapText="1"/>
      <protection/>
    </xf>
    <xf numFmtId="0" fontId="1" fillId="0" borderId="30" xfId="68" applyFont="1" applyBorder="1" applyAlignment="1">
      <alignment horizontal="centerContinuous" vertical="center"/>
      <protection/>
    </xf>
    <xf numFmtId="0" fontId="1" fillId="0" borderId="19" xfId="68" applyFont="1" applyBorder="1" applyAlignment="1">
      <alignment horizontal="center" vertical="center"/>
      <protection/>
    </xf>
    <xf numFmtId="0" fontId="1" fillId="0" borderId="10" xfId="68" applyFont="1" applyBorder="1" applyAlignment="1">
      <alignment horizontal="center" vertical="center"/>
      <protection/>
    </xf>
    <xf numFmtId="0" fontId="3" fillId="0" borderId="18" xfId="68" applyFont="1" applyBorder="1" applyAlignment="1">
      <alignment horizontal="left" vertical="center" wrapText="1"/>
      <protection/>
    </xf>
    <xf numFmtId="0" fontId="1" fillId="0" borderId="11" xfId="68" applyFont="1" applyBorder="1" applyAlignment="1">
      <alignment horizontal="left"/>
      <protection/>
    </xf>
    <xf numFmtId="183" fontId="1" fillId="0" borderId="32" xfId="68" applyNumberFormat="1" applyFont="1" applyBorder="1" applyAlignment="1">
      <alignment horizontal="right" vertical="center"/>
      <protection/>
    </xf>
    <xf numFmtId="183" fontId="1" fillId="0" borderId="39" xfId="68" applyNumberFormat="1" applyFont="1" applyBorder="1" applyAlignment="1">
      <alignment horizontal="right" vertical="center"/>
      <protection/>
    </xf>
    <xf numFmtId="183" fontId="1" fillId="0" borderId="11" xfId="68" applyNumberFormat="1" applyFont="1" applyBorder="1" applyAlignment="1">
      <alignment horizontal="right" vertical="center"/>
      <protection/>
    </xf>
    <xf numFmtId="183" fontId="1" fillId="0" borderId="20" xfId="68" applyNumberFormat="1" applyFont="1" applyBorder="1" applyAlignment="1">
      <alignment horizontal="right" vertical="center"/>
      <protection/>
    </xf>
    <xf numFmtId="0" fontId="1" fillId="0" borderId="14" xfId="68" applyFont="1" applyBorder="1" applyAlignment="1">
      <alignment horizontal="center" vertical="center"/>
      <protection/>
    </xf>
    <xf numFmtId="0" fontId="3" fillId="0" borderId="0" xfId="68" applyFont="1" applyBorder="1" applyAlignment="1">
      <alignment horizontal="left" vertical="center"/>
      <protection/>
    </xf>
    <xf numFmtId="0" fontId="1" fillId="0" borderId="15" xfId="68" applyFont="1" applyBorder="1" applyAlignment="1">
      <alignment horizontal="left"/>
      <protection/>
    </xf>
    <xf numFmtId="183" fontId="1" fillId="0" borderId="37" xfId="68" applyNumberFormat="1" applyFont="1" applyBorder="1" applyAlignment="1">
      <alignment horizontal="right" vertical="center"/>
      <protection/>
    </xf>
    <xf numFmtId="183" fontId="1" fillId="0" borderId="15" xfId="68" applyNumberFormat="1" applyFont="1" applyBorder="1" applyAlignment="1">
      <alignment horizontal="right" vertical="center"/>
      <protection/>
    </xf>
    <xf numFmtId="183" fontId="1" fillId="0" borderId="21" xfId="68" applyNumberFormat="1" applyFont="1" applyBorder="1" applyAlignment="1">
      <alignment horizontal="right" vertical="center"/>
      <protection/>
    </xf>
    <xf numFmtId="0" fontId="3" fillId="0" borderId="15" xfId="68" applyFont="1" applyBorder="1" applyAlignment="1">
      <alignment horizontal="left" vertical="center"/>
      <protection/>
    </xf>
    <xf numFmtId="0" fontId="3" fillId="0" borderId="12" xfId="68" applyFont="1" applyBorder="1" applyAlignment="1">
      <alignment horizontal="centerContinuous" vertical="center"/>
      <protection/>
    </xf>
    <xf numFmtId="0" fontId="3" fillId="0" borderId="29" xfId="68" applyFont="1" applyBorder="1" applyAlignment="1">
      <alignment horizontal="left" vertical="center"/>
      <protection/>
    </xf>
    <xf numFmtId="0" fontId="1" fillId="0" borderId="13" xfId="68" applyFont="1" applyBorder="1" applyAlignment="1">
      <alignment horizontal="left" vertical="center"/>
      <protection/>
    </xf>
    <xf numFmtId="183" fontId="1" fillId="0" borderId="34" xfId="68" applyNumberFormat="1" applyFont="1" applyBorder="1" applyAlignment="1">
      <alignment horizontal="right" vertical="center"/>
      <protection/>
    </xf>
    <xf numFmtId="183" fontId="1" fillId="0" borderId="13" xfId="68" applyNumberFormat="1" applyFont="1" applyBorder="1" applyAlignment="1">
      <alignment horizontal="right" vertical="center"/>
      <protection/>
    </xf>
    <xf numFmtId="183" fontId="1" fillId="0" borderId="19" xfId="68" applyNumberFormat="1" applyFont="1" applyBorder="1" applyAlignment="1">
      <alignment horizontal="right" vertical="center"/>
      <protection/>
    </xf>
    <xf numFmtId="38" fontId="1" fillId="0" borderId="40" xfId="47" applyNumberFormat="1" applyFont="1" applyBorder="1" applyAlignment="1">
      <alignment horizontal="right" vertical="center"/>
    </xf>
    <xf numFmtId="38" fontId="1" fillId="0" borderId="22" xfId="47" applyNumberFormat="1" applyFont="1" applyBorder="1" applyAlignment="1">
      <alignment horizontal="right" vertical="center"/>
    </xf>
    <xf numFmtId="183" fontId="1" fillId="0" borderId="36" xfId="68" applyNumberFormat="1" applyFont="1" applyBorder="1" applyAlignment="1">
      <alignment horizontal="right" vertical="center"/>
      <protection/>
    </xf>
    <xf numFmtId="183" fontId="1" fillId="0" borderId="22" xfId="68" applyNumberFormat="1" applyFont="1" applyBorder="1" applyAlignment="1">
      <alignment horizontal="right" vertical="center"/>
      <protection/>
    </xf>
    <xf numFmtId="172" fontId="1" fillId="0" borderId="26" xfId="0" applyNumberFormat="1" applyFont="1" applyBorder="1" applyAlignment="1">
      <alignment horizontal="right"/>
    </xf>
    <xf numFmtId="184" fontId="1" fillId="0" borderId="14" xfId="0" applyNumberFormat="1" applyFont="1" applyBorder="1" applyAlignment="1">
      <alignment horizontal="right"/>
    </xf>
    <xf numFmtId="184" fontId="1" fillId="0" borderId="36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184" fontId="1" fillId="0" borderId="37" xfId="0" applyNumberFormat="1" applyFont="1" applyBorder="1" applyAlignment="1">
      <alignment horizontal="right"/>
    </xf>
    <xf numFmtId="184" fontId="1" fillId="0" borderId="15" xfId="0" applyNumberFormat="1" applyFont="1" applyBorder="1" applyAlignment="1">
      <alignment horizontal="right"/>
    </xf>
    <xf numFmtId="184" fontId="1" fillId="0" borderId="10" xfId="0" applyNumberFormat="1" applyFont="1" applyBorder="1" applyAlignment="1">
      <alignment horizontal="right"/>
    </xf>
    <xf numFmtId="184" fontId="1" fillId="0" borderId="18" xfId="0" applyNumberFormat="1" applyFont="1" applyBorder="1" applyAlignment="1">
      <alignment horizontal="right"/>
    </xf>
    <xf numFmtId="184" fontId="1" fillId="0" borderId="11" xfId="0" applyNumberFormat="1" applyFont="1" applyBorder="1" applyAlignment="1">
      <alignment horizontal="right"/>
    </xf>
    <xf numFmtId="184" fontId="1" fillId="0" borderId="16" xfId="0" applyNumberFormat="1" applyFont="1" applyBorder="1" applyAlignment="1">
      <alignment horizontal="right"/>
    </xf>
    <xf numFmtId="184" fontId="1" fillId="0" borderId="38" xfId="0" applyNumberFormat="1" applyFont="1" applyBorder="1" applyAlignment="1">
      <alignment horizontal="right"/>
    </xf>
    <xf numFmtId="184" fontId="1" fillId="0" borderId="23" xfId="0" applyNumberFormat="1" applyFont="1" applyBorder="1" applyAlignment="1">
      <alignment horizontal="right"/>
    </xf>
    <xf numFmtId="183" fontId="1" fillId="0" borderId="16" xfId="0" applyNumberFormat="1" applyFont="1" applyBorder="1" applyAlignment="1">
      <alignment horizontal="center"/>
    </xf>
    <xf numFmtId="183" fontId="1" fillId="0" borderId="38" xfId="0" applyNumberFormat="1" applyFont="1" applyBorder="1" applyAlignment="1">
      <alignment horizontal="center"/>
    </xf>
    <xf numFmtId="183" fontId="1" fillId="0" borderId="0" xfId="0" applyNumberFormat="1" applyFont="1" applyBorder="1" applyAlignment="1">
      <alignment horizontal="center"/>
    </xf>
    <xf numFmtId="184" fontId="1" fillId="0" borderId="17" xfId="0" applyNumberFormat="1" applyFont="1" applyBorder="1" applyAlignment="1">
      <alignment horizontal="right"/>
    </xf>
    <xf numFmtId="184" fontId="1" fillId="0" borderId="12" xfId="0" applyNumberFormat="1" applyFont="1" applyBorder="1" applyAlignment="1">
      <alignment horizontal="right"/>
    </xf>
    <xf numFmtId="184" fontId="1" fillId="0" borderId="35" xfId="0" applyNumberFormat="1" applyFont="1" applyBorder="1" applyAlignment="1">
      <alignment horizontal="right"/>
    </xf>
    <xf numFmtId="184" fontId="1" fillId="0" borderId="29" xfId="0" applyNumberFormat="1" applyFont="1" applyBorder="1" applyAlignment="1">
      <alignment horizontal="right"/>
    </xf>
    <xf numFmtId="184" fontId="1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65" applyFont="1" applyBorder="1" applyAlignment="1">
      <alignment/>
      <protection/>
    </xf>
    <xf numFmtId="0" fontId="1" fillId="0" borderId="35" xfId="0" applyFont="1" applyBorder="1" applyAlignment="1">
      <alignment horizontal="center"/>
    </xf>
    <xf numFmtId="0" fontId="1" fillId="0" borderId="15" xfId="0" applyFont="1" applyBorder="1" applyAlignment="1">
      <alignment/>
    </xf>
    <xf numFmtId="167" fontId="1" fillId="0" borderId="14" xfId="0" applyNumberFormat="1" applyFont="1" applyBorder="1" applyAlignment="1">
      <alignment/>
    </xf>
    <xf numFmtId="167" fontId="1" fillId="0" borderId="37" xfId="0" applyNumberFormat="1" applyFont="1" applyBorder="1" applyAlignment="1">
      <alignment/>
    </xf>
    <xf numFmtId="167" fontId="1" fillId="0" borderId="15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7" fontId="1" fillId="0" borderId="36" xfId="0" applyNumberFormat="1" applyFont="1" applyBorder="1" applyAlignment="1">
      <alignment/>
    </xf>
    <xf numFmtId="167" fontId="1" fillId="0" borderId="11" xfId="0" applyNumberFormat="1" applyFont="1" applyBorder="1" applyAlignment="1">
      <alignment/>
    </xf>
    <xf numFmtId="167" fontId="1" fillId="0" borderId="16" xfId="0" applyNumberFormat="1" applyFont="1" applyBorder="1" applyAlignment="1">
      <alignment/>
    </xf>
    <xf numFmtId="167" fontId="1" fillId="0" borderId="38" xfId="0" applyNumberFormat="1" applyFont="1" applyBorder="1" applyAlignment="1">
      <alignment/>
    </xf>
    <xf numFmtId="167" fontId="1" fillId="0" borderId="17" xfId="0" applyNumberFormat="1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8" xfId="0" applyNumberFormat="1" applyFont="1" applyBorder="1" applyAlignment="1">
      <alignment/>
    </xf>
    <xf numFmtId="167" fontId="1" fillId="0" borderId="33" xfId="0" applyNumberFormat="1" applyFont="1" applyBorder="1" applyAlignment="1">
      <alignment/>
    </xf>
    <xf numFmtId="0" fontId="1" fillId="0" borderId="13" xfId="0" applyFont="1" applyBorder="1" applyAlignment="1">
      <alignment/>
    </xf>
    <xf numFmtId="167" fontId="1" fillId="0" borderId="12" xfId="0" applyNumberFormat="1" applyFont="1" applyBorder="1" applyAlignment="1">
      <alignment/>
    </xf>
    <xf numFmtId="167" fontId="1" fillId="0" borderId="35" xfId="0" applyNumberFormat="1" applyFont="1" applyBorder="1" applyAlignment="1">
      <alignment/>
    </xf>
    <xf numFmtId="167" fontId="1" fillId="0" borderId="13" xfId="0" applyNumberFormat="1" applyFont="1" applyBorder="1" applyAlignment="1">
      <alignment/>
    </xf>
    <xf numFmtId="167" fontId="1" fillId="0" borderId="29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9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167" fontId="1" fillId="0" borderId="11" xfId="0" applyNumberFormat="1" applyFont="1" applyBorder="1" applyAlignment="1">
      <alignment horizontal="right"/>
    </xf>
    <xf numFmtId="167" fontId="1" fillId="0" borderId="10" xfId="0" applyNumberFormat="1" applyFont="1" applyBorder="1" applyAlignment="1">
      <alignment horizontal="right"/>
    </xf>
    <xf numFmtId="167" fontId="1" fillId="0" borderId="36" xfId="0" applyNumberFormat="1" applyFont="1" applyBorder="1" applyAlignment="1">
      <alignment horizontal="right"/>
    </xf>
    <xf numFmtId="167" fontId="1" fillId="0" borderId="14" xfId="0" applyNumberFormat="1" applyFont="1" applyBorder="1" applyAlignment="1">
      <alignment horizontal="right"/>
    </xf>
    <xf numFmtId="167" fontId="1" fillId="0" borderId="37" xfId="0" applyNumberFormat="1" applyFont="1" applyBorder="1" applyAlignment="1">
      <alignment horizontal="right"/>
    </xf>
    <xf numFmtId="167" fontId="1" fillId="0" borderId="15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/>
    </xf>
    <xf numFmtId="0" fontId="12" fillId="0" borderId="0" xfId="65" applyFont="1">
      <alignment/>
      <protection/>
    </xf>
    <xf numFmtId="0" fontId="13" fillId="0" borderId="0" xfId="69" applyFont="1">
      <alignment/>
      <protection/>
    </xf>
    <xf numFmtId="0" fontId="12" fillId="0" borderId="0" xfId="69" applyFont="1">
      <alignment/>
      <protection/>
    </xf>
    <xf numFmtId="0" fontId="12" fillId="0" borderId="0" xfId="69" applyFont="1" applyBorder="1">
      <alignment/>
      <protection/>
    </xf>
    <xf numFmtId="0" fontId="1" fillId="0" borderId="18" xfId="69" applyFont="1" applyBorder="1" applyAlignment="1">
      <alignment horizontal="centerContinuous" vertical="center"/>
      <protection/>
    </xf>
    <xf numFmtId="0" fontId="1" fillId="0" borderId="10" xfId="69" applyFont="1" applyBorder="1" applyAlignment="1">
      <alignment horizontal="centerContinuous" vertical="center"/>
      <protection/>
    </xf>
    <xf numFmtId="0" fontId="1" fillId="0" borderId="18" xfId="69" applyFont="1" applyBorder="1" applyAlignment="1">
      <alignment horizontal="centerContinuous"/>
      <protection/>
    </xf>
    <xf numFmtId="0" fontId="1" fillId="0" borderId="13" xfId="69" applyFont="1" applyBorder="1" applyAlignment="1">
      <alignment horizontal="centerContinuous"/>
      <protection/>
    </xf>
    <xf numFmtId="0" fontId="1" fillId="0" borderId="11" xfId="69" applyFont="1" applyBorder="1" applyAlignment="1">
      <alignment horizontal="centerContinuous"/>
      <protection/>
    </xf>
    <xf numFmtId="0" fontId="1" fillId="0" borderId="29" xfId="69" applyFont="1" applyBorder="1" applyAlignment="1">
      <alignment horizontal="centerContinuous" vertical="center"/>
      <protection/>
    </xf>
    <xf numFmtId="0" fontId="1" fillId="0" borderId="35" xfId="69" applyFont="1" applyBorder="1" applyAlignment="1">
      <alignment horizontal="centerContinuous" vertical="center"/>
      <protection/>
    </xf>
    <xf numFmtId="0" fontId="1" fillId="0" borderId="12" xfId="69" applyFont="1" applyBorder="1" applyAlignment="1">
      <alignment horizontal="centerContinuous" vertical="center"/>
      <protection/>
    </xf>
    <xf numFmtId="0" fontId="1" fillId="0" borderId="13" xfId="69" applyFont="1" applyBorder="1" applyAlignment="1">
      <alignment horizontal="centerContinuous" vertical="center"/>
      <protection/>
    </xf>
    <xf numFmtId="0" fontId="1" fillId="0" borderId="26" xfId="69" applyFont="1" applyBorder="1" applyAlignment="1">
      <alignment vertical="center"/>
      <protection/>
    </xf>
    <xf numFmtId="0" fontId="1" fillId="0" borderId="18" xfId="69" applyFont="1" applyBorder="1" applyAlignment="1">
      <alignment vertical="center"/>
      <protection/>
    </xf>
    <xf numFmtId="0" fontId="1" fillId="0" borderId="15" xfId="69" applyFont="1" applyBorder="1" applyAlignment="1">
      <alignment vertical="center"/>
      <protection/>
    </xf>
    <xf numFmtId="180" fontId="1" fillId="0" borderId="14" xfId="69" applyNumberFormat="1" applyFont="1" applyBorder="1" applyAlignment="1">
      <alignment horizontal="right" vertical="center"/>
      <protection/>
    </xf>
    <xf numFmtId="180" fontId="1" fillId="0" borderId="37" xfId="69" applyNumberFormat="1" applyFont="1" applyBorder="1" applyAlignment="1">
      <alignment horizontal="right" vertical="center"/>
      <protection/>
    </xf>
    <xf numFmtId="180" fontId="1" fillId="0" borderId="36" xfId="69" applyNumberFormat="1" applyFont="1" applyBorder="1" applyAlignment="1">
      <alignment horizontal="right" vertical="center"/>
      <protection/>
    </xf>
    <xf numFmtId="180" fontId="1" fillId="0" borderId="18" xfId="69" applyNumberFormat="1" applyFont="1" applyBorder="1" applyAlignment="1">
      <alignment horizontal="right" vertical="center"/>
      <protection/>
    </xf>
    <xf numFmtId="180" fontId="1" fillId="0" borderId="10" xfId="69" applyNumberFormat="1" applyFont="1" applyBorder="1" applyAlignment="1">
      <alignment horizontal="right" vertical="center"/>
      <protection/>
    </xf>
    <xf numFmtId="180" fontId="1" fillId="0" borderId="11" xfId="69" applyNumberFormat="1" applyFont="1" applyBorder="1" applyAlignment="1">
      <alignment horizontal="right" vertical="center"/>
      <protection/>
    </xf>
    <xf numFmtId="0" fontId="1" fillId="0" borderId="25" xfId="69" applyFont="1" applyBorder="1" applyAlignment="1">
      <alignment vertical="center"/>
      <protection/>
    </xf>
    <xf numFmtId="0" fontId="1" fillId="0" borderId="0" xfId="69" applyFont="1" applyBorder="1" applyAlignment="1">
      <alignment vertical="center"/>
      <protection/>
    </xf>
    <xf numFmtId="180" fontId="1" fillId="0" borderId="0" xfId="69" applyNumberFormat="1" applyFont="1" applyBorder="1" applyAlignment="1">
      <alignment horizontal="right" vertical="center"/>
      <protection/>
    </xf>
    <xf numFmtId="180" fontId="1" fillId="0" borderId="15" xfId="69" applyNumberFormat="1" applyFont="1" applyBorder="1" applyAlignment="1">
      <alignment horizontal="right" vertical="center"/>
      <protection/>
    </xf>
    <xf numFmtId="180" fontId="1" fillId="0" borderId="22" xfId="69" applyNumberFormat="1" applyFont="1" applyBorder="1" applyAlignment="1">
      <alignment horizontal="right" vertical="center"/>
      <protection/>
    </xf>
    <xf numFmtId="0" fontId="1" fillId="0" borderId="17" xfId="69" applyFont="1" applyBorder="1" applyAlignment="1">
      <alignment vertical="center"/>
      <protection/>
    </xf>
    <xf numFmtId="180" fontId="1" fillId="0" borderId="16" xfId="69" applyNumberFormat="1" applyFont="1" applyBorder="1" applyAlignment="1">
      <alignment horizontal="right" vertical="center"/>
      <protection/>
    </xf>
    <xf numFmtId="180" fontId="1" fillId="0" borderId="38" xfId="69" applyNumberFormat="1" applyFont="1" applyBorder="1" applyAlignment="1">
      <alignment horizontal="right" vertical="center"/>
      <protection/>
    </xf>
    <xf numFmtId="180" fontId="1" fillId="0" borderId="23" xfId="69" applyNumberFormat="1" applyFont="1" applyBorder="1" applyAlignment="1">
      <alignment horizontal="right" vertical="center"/>
      <protection/>
    </xf>
    <xf numFmtId="180" fontId="1" fillId="0" borderId="24" xfId="69" applyNumberFormat="1" applyFont="1" applyBorder="1" applyAlignment="1">
      <alignment horizontal="right" vertical="center"/>
      <protection/>
    </xf>
    <xf numFmtId="180" fontId="1" fillId="0" borderId="17" xfId="69" applyNumberFormat="1" applyFont="1" applyBorder="1" applyAlignment="1">
      <alignment horizontal="right" vertical="center"/>
      <protection/>
    </xf>
    <xf numFmtId="0" fontId="1" fillId="0" borderId="10" xfId="69" applyFont="1" applyBorder="1" applyAlignment="1">
      <alignment vertical="center"/>
      <protection/>
    </xf>
    <xf numFmtId="0" fontId="12" fillId="0" borderId="0" xfId="69" applyFont="1" applyAlignment="1">
      <alignment horizontal="center" vertical="center" textRotation="180"/>
      <protection/>
    </xf>
    <xf numFmtId="0" fontId="1" fillId="0" borderId="14" xfId="69" applyFont="1" applyBorder="1" applyAlignment="1">
      <alignment vertical="center"/>
      <protection/>
    </xf>
    <xf numFmtId="0" fontId="1" fillId="0" borderId="12" xfId="69" applyFont="1" applyBorder="1" applyAlignment="1">
      <alignment vertical="center"/>
      <protection/>
    </xf>
    <xf numFmtId="0" fontId="1" fillId="0" borderId="29" xfId="69" applyFont="1" applyBorder="1" applyAlignment="1">
      <alignment vertical="center"/>
      <protection/>
    </xf>
    <xf numFmtId="0" fontId="1" fillId="0" borderId="13" xfId="69" applyFont="1" applyBorder="1" applyAlignment="1">
      <alignment vertical="center"/>
      <protection/>
    </xf>
    <xf numFmtId="180" fontId="1" fillId="0" borderId="12" xfId="69" applyNumberFormat="1" applyFont="1" applyBorder="1" applyAlignment="1">
      <alignment horizontal="right" vertical="center"/>
      <protection/>
    </xf>
    <xf numFmtId="180" fontId="1" fillId="0" borderId="35" xfId="69" applyNumberFormat="1" applyFont="1" applyBorder="1" applyAlignment="1">
      <alignment horizontal="right" vertical="center"/>
      <protection/>
    </xf>
    <xf numFmtId="180" fontId="1" fillId="0" borderId="29" xfId="69" applyNumberFormat="1" applyFont="1" applyBorder="1" applyAlignment="1">
      <alignment horizontal="right" vertical="center"/>
      <protection/>
    </xf>
    <xf numFmtId="180" fontId="1" fillId="0" borderId="13" xfId="69" applyNumberFormat="1" applyFont="1" applyBorder="1" applyAlignment="1">
      <alignment horizontal="right" vertical="center"/>
      <protection/>
    </xf>
    <xf numFmtId="3" fontId="1" fillId="0" borderId="0" xfId="69" applyNumberFormat="1" applyFont="1" applyBorder="1" applyAlignment="1">
      <alignment horizontal="left" vertical="center"/>
      <protection/>
    </xf>
    <xf numFmtId="0" fontId="1" fillId="0" borderId="0" xfId="69" applyFont="1">
      <alignment/>
      <protection/>
    </xf>
    <xf numFmtId="0" fontId="1" fillId="0" borderId="0" xfId="69" applyFont="1" applyBorder="1" applyAlignment="1">
      <alignment horizontal="left"/>
      <protection/>
    </xf>
    <xf numFmtId="0" fontId="1" fillId="0" borderId="0" xfId="69" applyFont="1" applyAlignment="1">
      <alignment horizontal="left"/>
      <protection/>
    </xf>
    <xf numFmtId="0" fontId="1" fillId="0" borderId="12" xfId="69" applyFont="1" applyBorder="1" applyAlignment="1">
      <alignment horizontal="center" vertical="center"/>
      <protection/>
    </xf>
    <xf numFmtId="0" fontId="1" fillId="0" borderId="29" xfId="69" applyFont="1" applyBorder="1" applyAlignment="1">
      <alignment horizontal="center" vertical="center"/>
      <protection/>
    </xf>
    <xf numFmtId="0" fontId="1" fillId="0" borderId="13" xfId="69" applyFont="1" applyBorder="1" applyAlignment="1">
      <alignment horizontal="center" vertical="center"/>
      <protection/>
    </xf>
    <xf numFmtId="0" fontId="1" fillId="0" borderId="35" xfId="69" applyFont="1" applyBorder="1" applyAlignment="1">
      <alignment horizontal="center" vertical="center"/>
      <protection/>
    </xf>
    <xf numFmtId="0" fontId="1" fillId="0" borderId="31" xfId="69" applyFont="1" applyBorder="1" applyAlignment="1">
      <alignment horizontal="center" vertical="center"/>
      <protection/>
    </xf>
    <xf numFmtId="180" fontId="1" fillId="0" borderId="36" xfId="69" applyNumberFormat="1" applyFont="1" applyBorder="1" applyAlignment="1">
      <alignment vertical="center"/>
      <protection/>
    </xf>
    <xf numFmtId="180" fontId="1" fillId="0" borderId="18" xfId="69" applyNumberFormat="1" applyFont="1" applyBorder="1" applyAlignment="1">
      <alignment vertical="center"/>
      <protection/>
    </xf>
    <xf numFmtId="180" fontId="1" fillId="0" borderId="10" xfId="69" applyNumberFormat="1" applyFont="1" applyBorder="1" applyAlignment="1">
      <alignment vertical="center"/>
      <protection/>
    </xf>
    <xf numFmtId="180" fontId="1" fillId="0" borderId="11" xfId="69" applyNumberFormat="1" applyFont="1" applyBorder="1" applyAlignment="1">
      <alignment vertical="center"/>
      <protection/>
    </xf>
    <xf numFmtId="180" fontId="1" fillId="0" borderId="37" xfId="69" applyNumberFormat="1" applyFont="1" applyBorder="1" applyAlignment="1">
      <alignment vertical="center"/>
      <protection/>
    </xf>
    <xf numFmtId="180" fontId="1" fillId="0" borderId="0" xfId="69" applyNumberFormat="1" applyFont="1" applyBorder="1" applyAlignment="1">
      <alignment vertical="center"/>
      <protection/>
    </xf>
    <xf numFmtId="180" fontId="1" fillId="0" borderId="14" xfId="69" applyNumberFormat="1" applyFont="1" applyBorder="1" applyAlignment="1">
      <alignment vertical="center"/>
      <protection/>
    </xf>
    <xf numFmtId="180" fontId="1" fillId="0" borderId="15" xfId="69" applyNumberFormat="1" applyFont="1" applyBorder="1" applyAlignment="1">
      <alignment vertical="center"/>
      <protection/>
    </xf>
    <xf numFmtId="180" fontId="1" fillId="0" borderId="23" xfId="69" applyNumberFormat="1" applyFont="1" applyBorder="1" applyAlignment="1">
      <alignment vertical="center"/>
      <protection/>
    </xf>
    <xf numFmtId="180" fontId="1" fillId="0" borderId="38" xfId="69" applyNumberFormat="1" applyFont="1" applyBorder="1" applyAlignment="1">
      <alignment vertical="center"/>
      <protection/>
    </xf>
    <xf numFmtId="180" fontId="1" fillId="0" borderId="35" xfId="69" applyNumberFormat="1" applyFont="1" applyBorder="1" applyAlignment="1">
      <alignment vertical="center"/>
      <protection/>
    </xf>
    <xf numFmtId="180" fontId="1" fillId="0" borderId="29" xfId="69" applyNumberFormat="1" applyFont="1" applyBorder="1" applyAlignment="1">
      <alignment vertical="center"/>
      <protection/>
    </xf>
    <xf numFmtId="180" fontId="1" fillId="0" borderId="12" xfId="69" applyNumberFormat="1" applyFont="1" applyBorder="1" applyAlignment="1">
      <alignment vertical="center"/>
      <protection/>
    </xf>
    <xf numFmtId="180" fontId="1" fillId="0" borderId="13" xfId="69" applyNumberFormat="1" applyFont="1" applyBorder="1" applyAlignment="1">
      <alignment vertical="center"/>
      <protection/>
    </xf>
    <xf numFmtId="0" fontId="15" fillId="0" borderId="0" xfId="69" applyFont="1" applyBorder="1">
      <alignment/>
      <protection/>
    </xf>
    <xf numFmtId="0" fontId="16" fillId="0" borderId="0" xfId="69" applyBorder="1">
      <alignment/>
      <protection/>
    </xf>
    <xf numFmtId="0" fontId="10" fillId="0" borderId="0" xfId="69" applyFont="1" applyBorder="1" applyAlignment="1">
      <alignment horizontal="right"/>
      <protection/>
    </xf>
    <xf numFmtId="0" fontId="10" fillId="0" borderId="0" xfId="69" applyFont="1" applyBorder="1">
      <alignment/>
      <protection/>
    </xf>
    <xf numFmtId="0" fontId="13" fillId="0" borderId="0" xfId="64" applyFont="1">
      <alignment/>
      <protection/>
    </xf>
    <xf numFmtId="0" fontId="13" fillId="0" borderId="0" xfId="64" applyFont="1" applyBorder="1">
      <alignment/>
      <protection/>
    </xf>
    <xf numFmtId="0" fontId="25" fillId="0" borderId="0" xfId="64" applyFont="1">
      <alignment/>
      <protection/>
    </xf>
    <xf numFmtId="0" fontId="0" fillId="0" borderId="0" xfId="64">
      <alignment/>
      <protection/>
    </xf>
    <xf numFmtId="0" fontId="4" fillId="0" borderId="0" xfId="64" applyFont="1">
      <alignment/>
      <protection/>
    </xf>
    <xf numFmtId="166" fontId="13" fillId="0" borderId="0" xfId="64" applyNumberFormat="1" applyFont="1">
      <alignment/>
      <protection/>
    </xf>
    <xf numFmtId="0" fontId="12" fillId="0" borderId="44" xfId="65" applyFont="1" applyBorder="1" applyAlignment="1">
      <alignment/>
      <protection/>
    </xf>
    <xf numFmtId="0" fontId="12" fillId="0" borderId="71" xfId="64" applyFont="1" applyBorder="1" applyAlignment="1">
      <alignment horizontal="centerContinuous" vertical="center" wrapText="1"/>
      <protection/>
    </xf>
    <xf numFmtId="0" fontId="12" fillId="0" borderId="35" xfId="64" applyFont="1" applyBorder="1" applyAlignment="1">
      <alignment horizontal="centerContinuous" vertical="center" wrapText="1"/>
      <protection/>
    </xf>
    <xf numFmtId="0" fontId="12" fillId="0" borderId="72" xfId="64" applyFont="1" applyBorder="1" applyAlignment="1">
      <alignment horizontal="centerContinuous" vertical="center" wrapText="1"/>
      <protection/>
    </xf>
    <xf numFmtId="0" fontId="1" fillId="0" borderId="71" xfId="64" applyFont="1" applyBorder="1" applyAlignment="1">
      <alignment horizontal="centerContinuous" vertical="center" wrapText="1"/>
      <protection/>
    </xf>
    <xf numFmtId="0" fontId="1" fillId="0" borderId="35" xfId="64" applyFont="1" applyBorder="1" applyAlignment="1">
      <alignment horizontal="centerContinuous" vertical="center" wrapText="1"/>
      <protection/>
    </xf>
    <xf numFmtId="0" fontId="1" fillId="0" borderId="72" xfId="64" applyFont="1" applyBorder="1" applyAlignment="1">
      <alignment horizontal="centerContinuous" vertical="center" wrapText="1"/>
      <protection/>
    </xf>
    <xf numFmtId="0" fontId="4" fillId="0" borderId="44" xfId="64" applyFont="1" applyBorder="1" applyAlignment="1">
      <alignment vertical="center"/>
      <protection/>
    </xf>
    <xf numFmtId="0" fontId="21" fillId="0" borderId="0" xfId="64" applyFont="1" applyBorder="1" applyAlignment="1">
      <alignment vertical="center"/>
      <protection/>
    </xf>
    <xf numFmtId="0" fontId="1" fillId="0" borderId="0" xfId="64" applyFont="1" applyBorder="1" applyAlignment="1">
      <alignment vertical="center"/>
      <protection/>
    </xf>
    <xf numFmtId="38" fontId="1" fillId="0" borderId="73" xfId="46" applyNumberFormat="1" applyFont="1" applyBorder="1" applyAlignment="1">
      <alignment vertical="center"/>
    </xf>
    <xf numFmtId="38" fontId="1" fillId="0" borderId="32" xfId="46" applyNumberFormat="1" applyFont="1" applyBorder="1" applyAlignment="1">
      <alignment vertical="center"/>
    </xf>
    <xf numFmtId="188" fontId="1" fillId="0" borderId="74" xfId="64" applyNumberFormat="1" applyFont="1" applyBorder="1" applyAlignment="1">
      <alignment vertical="center"/>
      <protection/>
    </xf>
    <xf numFmtId="188" fontId="1" fillId="0" borderId="0" xfId="64" applyNumberFormat="1" applyFont="1" applyBorder="1" applyAlignment="1">
      <alignment vertical="center"/>
      <protection/>
    </xf>
    <xf numFmtId="0" fontId="4" fillId="0" borderId="44" xfId="64" applyFont="1" applyBorder="1" applyAlignment="1">
      <alignment vertical="center"/>
      <protection/>
    </xf>
    <xf numFmtId="0" fontId="12" fillId="0" borderId="0" xfId="64" applyFont="1" applyBorder="1" applyAlignment="1">
      <alignment vertical="center"/>
      <protection/>
    </xf>
    <xf numFmtId="38" fontId="1" fillId="0" borderId="37" xfId="46" applyNumberFormat="1" applyFont="1" applyBorder="1" applyAlignment="1">
      <alignment vertical="center"/>
    </xf>
    <xf numFmtId="0" fontId="12" fillId="0" borderId="47" xfId="64" applyFont="1" applyBorder="1" applyAlignment="1">
      <alignment vertical="center"/>
      <protection/>
    </xf>
    <xf numFmtId="0" fontId="12" fillId="0" borderId="23" xfId="64" applyFont="1" applyBorder="1" applyAlignment="1">
      <alignment vertical="center"/>
      <protection/>
    </xf>
    <xf numFmtId="0" fontId="1" fillId="0" borderId="23" xfId="64" applyFont="1" applyBorder="1" applyAlignment="1">
      <alignment vertical="center"/>
      <protection/>
    </xf>
    <xf numFmtId="38" fontId="1" fillId="0" borderId="75" xfId="46" applyNumberFormat="1" applyFont="1" applyBorder="1" applyAlignment="1">
      <alignment vertical="center"/>
    </xf>
    <xf numFmtId="38" fontId="1" fillId="0" borderId="38" xfId="46" applyNumberFormat="1" applyFont="1" applyBorder="1" applyAlignment="1">
      <alignment vertical="center"/>
    </xf>
    <xf numFmtId="188" fontId="1" fillId="0" borderId="49" xfId="64" applyNumberFormat="1" applyFont="1" applyBorder="1" applyAlignment="1">
      <alignment vertical="center"/>
      <protection/>
    </xf>
    <xf numFmtId="38" fontId="1" fillId="0" borderId="47" xfId="46" applyNumberFormat="1" applyFont="1" applyBorder="1" applyAlignment="1">
      <alignment vertical="center"/>
    </xf>
    <xf numFmtId="0" fontId="4" fillId="0" borderId="44" xfId="64" applyFont="1" applyBorder="1" applyAlignment="1">
      <alignment horizontal="left" vertical="center" wrapText="1"/>
      <protection/>
    </xf>
    <xf numFmtId="0" fontId="1" fillId="0" borderId="0" xfId="64" applyFont="1" applyBorder="1" applyAlignment="1">
      <alignment horizontal="left" vertical="center" wrapText="1"/>
      <protection/>
    </xf>
    <xf numFmtId="38" fontId="1" fillId="0" borderId="44" xfId="46" applyNumberFormat="1" applyFont="1" applyBorder="1" applyAlignment="1">
      <alignment vertical="center"/>
    </xf>
    <xf numFmtId="38" fontId="1" fillId="0" borderId="46" xfId="46" applyNumberFormat="1" applyFont="1" applyBorder="1" applyAlignment="1">
      <alignment vertical="center"/>
    </xf>
    <xf numFmtId="38" fontId="1" fillId="0" borderId="39" xfId="46" applyNumberFormat="1" applyFont="1" applyBorder="1" applyAlignment="1">
      <alignment vertical="center"/>
    </xf>
    <xf numFmtId="188" fontId="1" fillId="0" borderId="76" xfId="64" applyNumberFormat="1" applyFont="1" applyBorder="1" applyAlignment="1">
      <alignment vertical="center"/>
      <protection/>
    </xf>
    <xf numFmtId="188" fontId="1" fillId="0" borderId="45" xfId="64" applyNumberFormat="1" applyFont="1" applyBorder="1" applyAlignment="1">
      <alignment vertical="center"/>
      <protection/>
    </xf>
    <xf numFmtId="0" fontId="1" fillId="0" borderId="47" xfId="64" applyFont="1" applyBorder="1" applyAlignment="1">
      <alignment vertical="center"/>
      <protection/>
    </xf>
    <xf numFmtId="0" fontId="1" fillId="0" borderId="23" xfId="64" applyFont="1" applyBorder="1" applyAlignment="1">
      <alignment horizontal="left" vertical="center"/>
      <protection/>
    </xf>
    <xf numFmtId="38" fontId="1" fillId="0" borderId="30" xfId="46" applyNumberFormat="1" applyFont="1" applyBorder="1" applyAlignment="1">
      <alignment vertical="center"/>
    </xf>
    <xf numFmtId="188" fontId="1" fillId="0" borderId="48" xfId="64" applyNumberFormat="1" applyFont="1" applyBorder="1" applyAlignment="1">
      <alignment vertical="center"/>
      <protection/>
    </xf>
    <xf numFmtId="0" fontId="1" fillId="0" borderId="44" xfId="64" applyFont="1" applyBorder="1" applyAlignment="1">
      <alignment horizontal="right" vertical="center"/>
      <protection/>
    </xf>
    <xf numFmtId="0" fontId="1" fillId="0" borderId="0" xfId="64" applyFont="1" applyBorder="1" applyAlignment="1">
      <alignment horizontal="left" vertical="center"/>
      <protection/>
    </xf>
    <xf numFmtId="38" fontId="1" fillId="0" borderId="46" xfId="64" applyNumberFormat="1" applyFont="1" applyBorder="1" applyAlignment="1">
      <alignment vertical="center"/>
      <protection/>
    </xf>
    <xf numFmtId="38" fontId="1" fillId="0" borderId="32" xfId="64" applyNumberFormat="1" applyFont="1" applyBorder="1" applyAlignment="1">
      <alignment vertical="center"/>
      <protection/>
    </xf>
    <xf numFmtId="38" fontId="1" fillId="0" borderId="73" xfId="64" applyNumberFormat="1" applyFont="1" applyBorder="1" applyAlignment="1">
      <alignment vertical="center"/>
      <protection/>
    </xf>
    <xf numFmtId="38" fontId="1" fillId="0" borderId="75" xfId="64" applyNumberFormat="1" applyFont="1" applyBorder="1" applyAlignment="1">
      <alignment vertical="center"/>
      <protection/>
    </xf>
    <xf numFmtId="38" fontId="1" fillId="0" borderId="30" xfId="64" applyNumberFormat="1" applyFont="1" applyBorder="1" applyAlignment="1">
      <alignment vertical="center"/>
      <protection/>
    </xf>
    <xf numFmtId="0" fontId="4" fillId="0" borderId="44" xfId="64" applyFont="1" applyBorder="1" applyAlignment="1">
      <alignment horizontal="left" vertical="center"/>
      <protection/>
    </xf>
    <xf numFmtId="0" fontId="12" fillId="0" borderId="0" xfId="64" applyFont="1" applyBorder="1">
      <alignment/>
      <protection/>
    </xf>
    <xf numFmtId="38" fontId="1" fillId="0" borderId="44" xfId="64" applyNumberFormat="1" applyFont="1" applyBorder="1" applyAlignment="1">
      <alignment vertical="center"/>
      <protection/>
    </xf>
    <xf numFmtId="38" fontId="1" fillId="0" borderId="37" xfId="64" applyNumberFormat="1" applyFont="1" applyBorder="1" applyAlignment="1">
      <alignment vertical="center"/>
      <protection/>
    </xf>
    <xf numFmtId="0" fontId="4" fillId="0" borderId="44" xfId="64" applyFont="1" applyBorder="1" applyAlignment="1">
      <alignment horizontal="left" vertical="center"/>
      <protection/>
    </xf>
    <xf numFmtId="0" fontId="1" fillId="0" borderId="0" xfId="64" applyFont="1" applyBorder="1" applyAlignment="1">
      <alignment vertical="center"/>
      <protection/>
    </xf>
    <xf numFmtId="38" fontId="1" fillId="0" borderId="38" xfId="64" applyNumberFormat="1" applyFont="1" applyBorder="1" applyAlignment="1">
      <alignment vertical="center"/>
      <protection/>
    </xf>
    <xf numFmtId="38" fontId="1" fillId="0" borderId="47" xfId="64" applyNumberFormat="1" applyFont="1" applyBorder="1" applyAlignment="1">
      <alignment vertical="center"/>
      <protection/>
    </xf>
    <xf numFmtId="38" fontId="1" fillId="0" borderId="51" xfId="64" applyNumberFormat="1" applyFont="1" applyBorder="1" applyAlignment="1">
      <alignment vertical="center"/>
      <protection/>
    </xf>
    <xf numFmtId="38" fontId="1" fillId="0" borderId="36" xfId="64" applyNumberFormat="1" applyFont="1" applyBorder="1" applyAlignment="1">
      <alignment vertical="center"/>
      <protection/>
    </xf>
    <xf numFmtId="168" fontId="1" fillId="0" borderId="73" xfId="64" applyNumberFormat="1" applyFont="1" applyBorder="1" applyAlignment="1">
      <alignment vertical="center"/>
      <protection/>
    </xf>
    <xf numFmtId="168" fontId="1" fillId="0" borderId="0" xfId="64" applyNumberFormat="1" applyFont="1" applyBorder="1" applyAlignment="1">
      <alignment vertical="center"/>
      <protection/>
    </xf>
    <xf numFmtId="168" fontId="1" fillId="0" borderId="44" xfId="64" applyNumberFormat="1" applyFont="1" applyBorder="1" applyAlignment="1">
      <alignment vertical="center"/>
      <protection/>
    </xf>
    <xf numFmtId="168" fontId="1" fillId="0" borderId="37" xfId="64" applyNumberFormat="1" applyFont="1" applyBorder="1" applyAlignment="1">
      <alignment vertical="center"/>
      <protection/>
    </xf>
    <xf numFmtId="0" fontId="12" fillId="0" borderId="52" xfId="64" applyFont="1" applyBorder="1" applyAlignment="1">
      <alignment vertical="center"/>
      <protection/>
    </xf>
    <xf numFmtId="0" fontId="12" fillId="0" borderId="53" xfId="64" applyFont="1" applyBorder="1" applyAlignment="1">
      <alignment vertical="center"/>
      <protection/>
    </xf>
    <xf numFmtId="0" fontId="1" fillId="0" borderId="53" xfId="64" applyFont="1" applyBorder="1" applyAlignment="1">
      <alignment vertical="center"/>
      <protection/>
    </xf>
    <xf numFmtId="168" fontId="1" fillId="0" borderId="77" xfId="64" applyNumberFormat="1" applyFont="1" applyBorder="1" applyAlignment="1">
      <alignment vertical="center"/>
      <protection/>
    </xf>
    <xf numFmtId="168" fontId="1" fillId="0" borderId="78" xfId="64" applyNumberFormat="1" applyFont="1" applyBorder="1" applyAlignment="1">
      <alignment vertical="center"/>
      <protection/>
    </xf>
    <xf numFmtId="188" fontId="1" fillId="0" borderId="57" xfId="64" applyNumberFormat="1" applyFont="1" applyBorder="1" applyAlignment="1">
      <alignment vertical="center"/>
      <protection/>
    </xf>
    <xf numFmtId="168" fontId="1" fillId="0" borderId="52" xfId="64" applyNumberFormat="1" applyFont="1" applyBorder="1" applyAlignment="1">
      <alignment vertical="center"/>
      <protection/>
    </xf>
    <xf numFmtId="168" fontId="1" fillId="0" borderId="56" xfId="64" applyNumberFormat="1" applyFont="1" applyBorder="1" applyAlignment="1">
      <alignment vertical="center"/>
      <protection/>
    </xf>
    <xf numFmtId="38" fontId="1" fillId="0" borderId="77" xfId="46" applyNumberFormat="1" applyFont="1" applyBorder="1" applyAlignment="1">
      <alignment vertical="center"/>
    </xf>
    <xf numFmtId="38" fontId="1" fillId="0" borderId="78" xfId="46" applyNumberFormat="1" applyFont="1" applyBorder="1" applyAlignment="1">
      <alignment vertical="center"/>
    </xf>
    <xf numFmtId="188" fontId="1" fillId="0" borderId="54" xfId="64" applyNumberFormat="1" applyFont="1" applyBorder="1" applyAlignment="1">
      <alignment vertical="center"/>
      <protection/>
    </xf>
    <xf numFmtId="0" fontId="12" fillId="0" borderId="0" xfId="64" applyFont="1">
      <alignment/>
      <protection/>
    </xf>
    <xf numFmtId="0" fontId="15" fillId="0" borderId="0" xfId="64" applyFont="1">
      <alignment/>
      <protection/>
    </xf>
    <xf numFmtId="0" fontId="12" fillId="0" borderId="0" xfId="64" applyFont="1" applyAlignment="1">
      <alignment/>
      <protection/>
    </xf>
    <xf numFmtId="0" fontId="15" fillId="0" borderId="0" xfId="64" applyFont="1" applyAlignment="1">
      <alignment/>
      <protection/>
    </xf>
    <xf numFmtId="1" fontId="3" fillId="0" borderId="0" xfId="70" applyNumberFormat="1" applyFont="1" applyBorder="1" applyAlignment="1">
      <alignment wrapText="1"/>
      <protection/>
    </xf>
    <xf numFmtId="167" fontId="3" fillId="0" borderId="0" xfId="70" applyNumberFormat="1" applyFont="1" applyBorder="1" applyAlignment="1">
      <alignment horizontal="right"/>
      <protection/>
    </xf>
    <xf numFmtId="167" fontId="3" fillId="0" borderId="79" xfId="70" applyNumberFormat="1" applyFont="1" applyBorder="1" applyAlignment="1">
      <alignment horizontal="right"/>
      <protection/>
    </xf>
    <xf numFmtId="167" fontId="3" fillId="0" borderId="80" xfId="70" applyNumberFormat="1" applyFont="1" applyBorder="1" applyAlignment="1">
      <alignment horizontal="center"/>
      <protection/>
    </xf>
    <xf numFmtId="167" fontId="3" fillId="0" borderId="80" xfId="70" applyNumberFormat="1" applyFont="1" applyBorder="1" applyAlignment="1">
      <alignment horizontal="right"/>
      <protection/>
    </xf>
    <xf numFmtId="188" fontId="3" fillId="0" borderId="80" xfId="70" applyNumberFormat="1" applyFont="1" applyBorder="1" applyAlignment="1">
      <alignment horizontal="right"/>
      <protection/>
    </xf>
    <xf numFmtId="0" fontId="16" fillId="0" borderId="0" xfId="70">
      <alignment/>
      <protection/>
    </xf>
    <xf numFmtId="0" fontId="13" fillId="0" borderId="0" xfId="64" applyFont="1">
      <alignment/>
      <protection/>
    </xf>
    <xf numFmtId="0" fontId="1" fillId="0" borderId="41" xfId="64" applyFont="1" applyBorder="1" applyAlignment="1">
      <alignment horizontal="centerContinuous" vertical="center"/>
      <protection/>
    </xf>
    <xf numFmtId="0" fontId="1" fillId="0" borderId="41" xfId="64" applyFont="1" applyBorder="1" applyAlignment="1">
      <alignment horizontal="centerContinuous"/>
      <protection/>
    </xf>
    <xf numFmtId="0" fontId="1" fillId="0" borderId="42" xfId="64" applyFont="1" applyBorder="1" applyAlignment="1">
      <alignment horizontal="centerContinuous"/>
      <protection/>
    </xf>
    <xf numFmtId="0" fontId="12" fillId="0" borderId="0" xfId="65" applyFont="1" applyBorder="1" applyAlignment="1">
      <alignment/>
      <protection/>
    </xf>
    <xf numFmtId="0" fontId="1" fillId="0" borderId="31" xfId="64" applyFont="1" applyBorder="1" applyAlignment="1">
      <alignment horizontal="centerContinuous" vertical="center" wrapText="1"/>
      <protection/>
    </xf>
    <xf numFmtId="0" fontId="1" fillId="0" borderId="43" xfId="64" applyFont="1" applyBorder="1" applyAlignment="1">
      <alignment horizontal="center" vertical="center" wrapText="1"/>
      <protection/>
    </xf>
    <xf numFmtId="0" fontId="1" fillId="0" borderId="29" xfId="64" applyFont="1" applyBorder="1" applyAlignment="1">
      <alignment horizontal="center" vertical="center" wrapText="1"/>
      <protection/>
    </xf>
    <xf numFmtId="0" fontId="1" fillId="0" borderId="45" xfId="64" applyFont="1" applyBorder="1" applyAlignment="1">
      <alignment vertical="center"/>
      <protection/>
    </xf>
    <xf numFmtId="169" fontId="1" fillId="0" borderId="22" xfId="64" applyNumberFormat="1" applyFont="1" applyBorder="1" applyAlignment="1">
      <alignment vertical="center"/>
      <protection/>
    </xf>
    <xf numFmtId="169" fontId="1" fillId="0" borderId="37" xfId="64" applyNumberFormat="1" applyFont="1" applyBorder="1" applyAlignment="1">
      <alignment vertical="center"/>
      <protection/>
    </xf>
    <xf numFmtId="188" fontId="1" fillId="0" borderId="45" xfId="64" applyNumberFormat="1" applyFont="1" applyBorder="1" applyAlignment="1">
      <alignment vertical="center"/>
      <protection/>
    </xf>
    <xf numFmtId="169" fontId="1" fillId="0" borderId="73" xfId="64" applyNumberFormat="1" applyFont="1" applyBorder="1" applyAlignment="1">
      <alignment vertical="center"/>
      <protection/>
    </xf>
    <xf numFmtId="169" fontId="1" fillId="0" borderId="32" xfId="64" applyNumberFormat="1" applyFont="1" applyBorder="1" applyAlignment="1">
      <alignment vertical="center"/>
      <protection/>
    </xf>
    <xf numFmtId="188" fontId="1" fillId="0" borderId="0" xfId="64" applyNumberFormat="1" applyFont="1" applyBorder="1" applyAlignment="1">
      <alignment vertical="center"/>
      <protection/>
    </xf>
    <xf numFmtId="38" fontId="1" fillId="0" borderId="40" xfId="46" applyNumberFormat="1" applyFont="1" applyBorder="1" applyAlignment="1">
      <alignment vertical="center"/>
    </xf>
    <xf numFmtId="38" fontId="1" fillId="0" borderId="36" xfId="46" applyNumberFormat="1" applyFont="1" applyBorder="1" applyAlignment="1">
      <alignment vertical="center"/>
    </xf>
    <xf numFmtId="188" fontId="1" fillId="0" borderId="76" xfId="64" applyNumberFormat="1" applyFont="1" applyBorder="1" applyAlignment="1">
      <alignment vertical="center"/>
      <protection/>
    </xf>
    <xf numFmtId="38" fontId="1" fillId="0" borderId="22" xfId="46" applyNumberFormat="1" applyFont="1" applyBorder="1" applyAlignment="1">
      <alignment vertical="center"/>
    </xf>
    <xf numFmtId="38" fontId="1" fillId="0" borderId="37" xfId="46" applyNumberFormat="1" applyFont="1" applyBorder="1" applyAlignment="1">
      <alignment vertical="center"/>
    </xf>
    <xf numFmtId="0" fontId="1" fillId="0" borderId="48" xfId="64" applyFont="1" applyBorder="1" applyAlignment="1">
      <alignment vertical="center"/>
      <protection/>
    </xf>
    <xf numFmtId="169" fontId="1" fillId="0" borderId="24" xfId="64" applyNumberFormat="1" applyFont="1" applyBorder="1" applyAlignment="1">
      <alignment vertical="center"/>
      <protection/>
    </xf>
    <xf numFmtId="169" fontId="1" fillId="0" borderId="38" xfId="64" applyNumberFormat="1" applyFont="1" applyBorder="1" applyAlignment="1">
      <alignment vertical="center"/>
      <protection/>
    </xf>
    <xf numFmtId="188" fontId="1" fillId="0" borderId="49" xfId="64" applyNumberFormat="1" applyFont="1" applyBorder="1" applyAlignment="1">
      <alignment vertical="center"/>
      <protection/>
    </xf>
    <xf numFmtId="169" fontId="1" fillId="0" borderId="75" xfId="64" applyNumberFormat="1" applyFont="1" applyBorder="1" applyAlignment="1">
      <alignment vertical="center"/>
      <protection/>
    </xf>
    <xf numFmtId="169" fontId="1" fillId="0" borderId="30" xfId="64" applyNumberFormat="1" applyFont="1" applyBorder="1" applyAlignment="1">
      <alignment vertical="center"/>
      <protection/>
    </xf>
    <xf numFmtId="188" fontId="1" fillId="0" borderId="81" xfId="64" applyNumberFormat="1" applyFont="1" applyBorder="1" applyAlignment="1">
      <alignment vertical="center"/>
      <protection/>
    </xf>
    <xf numFmtId="38" fontId="1" fillId="0" borderId="24" xfId="46" applyNumberFormat="1" applyFont="1" applyBorder="1" applyAlignment="1">
      <alignment vertical="center"/>
    </xf>
    <xf numFmtId="38" fontId="1" fillId="0" borderId="38" xfId="46" applyNumberFormat="1" applyFont="1" applyBorder="1" applyAlignment="1">
      <alignment vertical="center"/>
    </xf>
    <xf numFmtId="188" fontId="1" fillId="0" borderId="23" xfId="64" applyNumberFormat="1" applyFont="1" applyBorder="1" applyAlignment="1">
      <alignment vertical="center"/>
      <protection/>
    </xf>
    <xf numFmtId="188" fontId="1" fillId="0" borderId="48" xfId="64" applyNumberFormat="1" applyFont="1" applyBorder="1" applyAlignment="1">
      <alignment vertical="center"/>
      <protection/>
    </xf>
    <xf numFmtId="0" fontId="12" fillId="0" borderId="44" xfId="64" applyFont="1" applyBorder="1" applyAlignment="1">
      <alignment horizontal="right" vertical="center" wrapText="1"/>
      <protection/>
    </xf>
    <xf numFmtId="0" fontId="12" fillId="0" borderId="44" xfId="64" applyFont="1" applyBorder="1" applyAlignment="1">
      <alignment horizontal="right" vertical="center"/>
      <protection/>
    </xf>
    <xf numFmtId="0" fontId="12" fillId="0" borderId="0" xfId="64" applyFont="1" applyBorder="1" applyAlignment="1">
      <alignment horizontal="left" vertical="top"/>
      <protection/>
    </xf>
    <xf numFmtId="0" fontId="1" fillId="0" borderId="45" xfId="64" applyFont="1" applyBorder="1" applyAlignment="1">
      <alignment horizontal="left" vertical="center"/>
      <protection/>
    </xf>
    <xf numFmtId="0" fontId="3" fillId="0" borderId="44" xfId="64" applyFont="1" applyBorder="1" applyAlignment="1">
      <alignment vertical="center"/>
      <protection/>
    </xf>
    <xf numFmtId="182" fontId="1" fillId="0" borderId="40" xfId="64" applyNumberFormat="1" applyFont="1" applyBorder="1" applyAlignment="1">
      <alignment vertical="center"/>
      <protection/>
    </xf>
    <xf numFmtId="182" fontId="1" fillId="0" borderId="36" xfId="64" applyNumberFormat="1" applyFont="1" applyBorder="1" applyAlignment="1">
      <alignment vertical="center"/>
      <protection/>
    </xf>
    <xf numFmtId="188" fontId="1" fillId="0" borderId="74" xfId="64" applyNumberFormat="1" applyFont="1" applyBorder="1" applyAlignment="1">
      <alignment vertical="center"/>
      <protection/>
    </xf>
    <xf numFmtId="188" fontId="1" fillId="0" borderId="82" xfId="64" applyNumberFormat="1" applyFont="1" applyBorder="1" applyAlignment="1">
      <alignment vertical="center"/>
      <protection/>
    </xf>
    <xf numFmtId="182" fontId="1" fillId="0" borderId="22" xfId="64" applyNumberFormat="1" applyFont="1" applyBorder="1" applyAlignment="1">
      <alignment vertical="center"/>
      <protection/>
    </xf>
    <xf numFmtId="182" fontId="1" fillId="0" borderId="37" xfId="64" applyNumberFormat="1" applyFont="1" applyBorder="1" applyAlignment="1">
      <alignment vertical="center"/>
      <protection/>
    </xf>
    <xf numFmtId="0" fontId="1" fillId="0" borderId="54" xfId="64" applyFont="1" applyBorder="1" applyAlignment="1">
      <alignment vertical="center"/>
      <protection/>
    </xf>
    <xf numFmtId="169" fontId="1" fillId="0" borderId="55" xfId="64" applyNumberFormat="1" applyFont="1" applyBorder="1" applyAlignment="1">
      <alignment vertical="center"/>
      <protection/>
    </xf>
    <xf numFmtId="169" fontId="1" fillId="0" borderId="56" xfId="64" applyNumberFormat="1" applyFont="1" applyBorder="1" applyAlignment="1">
      <alignment vertical="center"/>
      <protection/>
    </xf>
    <xf numFmtId="188" fontId="1" fillId="0" borderId="57" xfId="64" applyNumberFormat="1" applyFont="1" applyBorder="1" applyAlignment="1">
      <alignment vertical="center"/>
      <protection/>
    </xf>
    <xf numFmtId="188" fontId="1" fillId="0" borderId="83" xfId="64" applyNumberFormat="1" applyFont="1" applyBorder="1" applyAlignment="1">
      <alignment vertical="center"/>
      <protection/>
    </xf>
    <xf numFmtId="182" fontId="1" fillId="0" borderId="55" xfId="64" applyNumberFormat="1" applyFont="1" applyBorder="1" applyAlignment="1">
      <alignment vertical="center"/>
      <protection/>
    </xf>
    <xf numFmtId="182" fontId="1" fillId="0" borderId="56" xfId="64" applyNumberFormat="1" applyFont="1" applyBorder="1" applyAlignment="1">
      <alignment vertical="center"/>
      <protection/>
    </xf>
    <xf numFmtId="188" fontId="1" fillId="0" borderId="53" xfId="64" applyNumberFormat="1" applyFont="1" applyBorder="1" applyAlignment="1">
      <alignment vertical="center"/>
      <protection/>
    </xf>
    <xf numFmtId="188" fontId="1" fillId="0" borderId="54" xfId="64" applyNumberFormat="1" applyFont="1" applyBorder="1" applyAlignment="1">
      <alignment vertical="center"/>
      <protection/>
    </xf>
    <xf numFmtId="0" fontId="12" fillId="0" borderId="0" xfId="65" applyFont="1" applyBorder="1">
      <alignment/>
      <protection/>
    </xf>
    <xf numFmtId="0" fontId="1" fillId="0" borderId="0" xfId="73" applyFont="1">
      <alignment/>
      <protection/>
    </xf>
    <xf numFmtId="0" fontId="12" fillId="0" borderId="0" xfId="73" applyFont="1">
      <alignment/>
      <protection/>
    </xf>
    <xf numFmtId="0" fontId="1" fillId="0" borderId="40" xfId="73" applyFont="1" applyBorder="1" applyAlignment="1">
      <alignment horizontal="center"/>
      <protection/>
    </xf>
    <xf numFmtId="0" fontId="1" fillId="0" borderId="39" xfId="73" applyFont="1" applyBorder="1" applyAlignment="1">
      <alignment horizontal="center"/>
      <protection/>
    </xf>
    <xf numFmtId="0" fontId="1" fillId="0" borderId="36" xfId="73" applyFont="1" applyBorder="1" applyAlignment="1">
      <alignment horizontal="center"/>
      <protection/>
    </xf>
    <xf numFmtId="0" fontId="1" fillId="0" borderId="20" xfId="73" applyFont="1" applyBorder="1" applyAlignment="1">
      <alignment horizontal="center"/>
      <protection/>
    </xf>
    <xf numFmtId="0" fontId="12" fillId="0" borderId="24" xfId="73" applyFont="1" applyBorder="1" applyAlignment="1">
      <alignment horizontal="center"/>
      <protection/>
    </xf>
    <xf numFmtId="0" fontId="12" fillId="0" borderId="30" xfId="73" applyFont="1" applyBorder="1" applyAlignment="1">
      <alignment horizontal="center"/>
      <protection/>
    </xf>
    <xf numFmtId="0" fontId="12" fillId="0" borderId="38" xfId="73" applyFont="1" applyBorder="1" applyAlignment="1">
      <alignment horizontal="center"/>
      <protection/>
    </xf>
    <xf numFmtId="0" fontId="12" fillId="0" borderId="33" xfId="73" applyFont="1" applyBorder="1" applyAlignment="1">
      <alignment horizontal="center"/>
      <protection/>
    </xf>
    <xf numFmtId="0" fontId="12" fillId="0" borderId="14" xfId="73" applyFont="1" applyBorder="1" applyAlignment="1">
      <alignment horizontal="left"/>
      <protection/>
    </xf>
    <xf numFmtId="167" fontId="12" fillId="0" borderId="10" xfId="73" applyNumberFormat="1" applyFont="1" applyBorder="1" applyAlignment="1">
      <alignment/>
      <protection/>
    </xf>
    <xf numFmtId="173" fontId="12" fillId="0" borderId="36" xfId="73" applyNumberFormat="1" applyFont="1" applyBorder="1" applyAlignment="1">
      <alignment/>
      <protection/>
    </xf>
    <xf numFmtId="173" fontId="12" fillId="0" borderId="37" xfId="73" applyNumberFormat="1" applyFont="1" applyBorder="1" applyAlignment="1">
      <alignment/>
      <protection/>
    </xf>
    <xf numFmtId="173" fontId="12" fillId="0" borderId="21" xfId="73" applyNumberFormat="1" applyFont="1" applyBorder="1" applyAlignment="1">
      <alignment/>
      <protection/>
    </xf>
    <xf numFmtId="167" fontId="12" fillId="0" borderId="18" xfId="73" applyNumberFormat="1" applyFont="1" applyBorder="1" applyAlignment="1">
      <alignment/>
      <protection/>
    </xf>
    <xf numFmtId="167" fontId="12" fillId="0" borderId="26" xfId="73" applyNumberFormat="1" applyFont="1" applyBorder="1" applyAlignment="1">
      <alignment/>
      <protection/>
    </xf>
    <xf numFmtId="167" fontId="12" fillId="0" borderId="14" xfId="73" applyNumberFormat="1" applyFont="1" applyBorder="1" applyAlignment="1">
      <alignment/>
      <protection/>
    </xf>
    <xf numFmtId="167" fontId="12" fillId="0" borderId="37" xfId="73" applyNumberFormat="1" applyFont="1" applyBorder="1" applyAlignment="1">
      <alignment/>
      <protection/>
    </xf>
    <xf numFmtId="167" fontId="12" fillId="0" borderId="32" xfId="73" applyNumberFormat="1" applyFont="1" applyBorder="1" applyAlignment="1">
      <alignment/>
      <protection/>
    </xf>
    <xf numFmtId="167" fontId="12" fillId="0" borderId="0" xfId="73" applyNumberFormat="1" applyFont="1" applyBorder="1" applyAlignment="1">
      <alignment/>
      <protection/>
    </xf>
    <xf numFmtId="167" fontId="12" fillId="0" borderId="25" xfId="73" applyNumberFormat="1" applyFont="1" applyBorder="1" applyAlignment="1">
      <alignment/>
      <protection/>
    </xf>
    <xf numFmtId="167" fontId="12" fillId="0" borderId="15" xfId="73" applyNumberFormat="1" applyFont="1" applyBorder="1" applyAlignment="1">
      <alignment/>
      <protection/>
    </xf>
    <xf numFmtId="173" fontId="12" fillId="0" borderId="0" xfId="73" applyNumberFormat="1" applyFont="1" applyBorder="1" applyAlignment="1">
      <alignment/>
      <protection/>
    </xf>
    <xf numFmtId="173" fontId="12" fillId="0" borderId="25" xfId="73" applyNumberFormat="1" applyFont="1" applyBorder="1" applyAlignment="1">
      <alignment/>
      <protection/>
    </xf>
    <xf numFmtId="173" fontId="12" fillId="0" borderId="14" xfId="73" applyNumberFormat="1" applyFont="1" applyBorder="1" applyAlignment="1">
      <alignment/>
      <protection/>
    </xf>
    <xf numFmtId="173" fontId="12" fillId="0" borderId="32" xfId="73" applyNumberFormat="1" applyFont="1" applyBorder="1" applyAlignment="1">
      <alignment/>
      <protection/>
    </xf>
    <xf numFmtId="167" fontId="12" fillId="0" borderId="82" xfId="73" applyNumberFormat="1" applyFont="1" applyBorder="1" applyAlignment="1">
      <alignment/>
      <protection/>
    </xf>
    <xf numFmtId="173" fontId="12" fillId="0" borderId="82" xfId="73" applyNumberFormat="1" applyFont="1" applyBorder="1" applyAlignment="1">
      <alignment/>
      <protection/>
    </xf>
    <xf numFmtId="0" fontId="12" fillId="0" borderId="14" xfId="73" applyFont="1" applyBorder="1" applyAlignment="1">
      <alignment/>
      <protection/>
    </xf>
    <xf numFmtId="167" fontId="12" fillId="0" borderId="21" xfId="73" applyNumberFormat="1" applyFont="1" applyBorder="1" applyAlignment="1">
      <alignment/>
      <protection/>
    </xf>
    <xf numFmtId="173" fontId="12" fillId="0" borderId="15" xfId="73" applyNumberFormat="1" applyFont="1" applyBorder="1" applyAlignment="1">
      <alignment/>
      <protection/>
    </xf>
    <xf numFmtId="0" fontId="12" fillId="0" borderId="12" xfId="73" applyFont="1" applyBorder="1" applyAlignment="1">
      <alignment horizontal="left" indent="1"/>
      <protection/>
    </xf>
    <xf numFmtId="167" fontId="12" fillId="0" borderId="12" xfId="73" applyNumberFormat="1" applyFont="1" applyBorder="1" applyAlignment="1">
      <alignment/>
      <protection/>
    </xf>
    <xf numFmtId="167" fontId="12" fillId="0" borderId="35" xfId="73" applyNumberFormat="1" applyFont="1" applyBorder="1" applyAlignment="1">
      <alignment/>
      <protection/>
    </xf>
    <xf numFmtId="167" fontId="12" fillId="0" borderId="19" xfId="73" applyNumberFormat="1" applyFont="1" applyBorder="1" applyAlignment="1">
      <alignment/>
      <protection/>
    </xf>
    <xf numFmtId="167" fontId="12" fillId="0" borderId="29" xfId="73" applyNumberFormat="1" applyFont="1" applyBorder="1" applyAlignment="1">
      <alignment/>
      <protection/>
    </xf>
    <xf numFmtId="167" fontId="12" fillId="0" borderId="28" xfId="73" applyNumberFormat="1" applyFont="1" applyBorder="1" applyAlignment="1">
      <alignment/>
      <protection/>
    </xf>
    <xf numFmtId="0" fontId="12" fillId="0" borderId="0" xfId="73" applyFont="1" applyBorder="1" applyAlignment="1">
      <alignment horizontal="left" indent="1"/>
      <protection/>
    </xf>
    <xf numFmtId="0" fontId="15" fillId="0" borderId="0" xfId="73" applyFont="1" applyBorder="1" applyAlignment="1">
      <alignment/>
      <protection/>
    </xf>
    <xf numFmtId="0" fontId="12" fillId="0" borderId="0" xfId="73" applyFont="1" applyAlignment="1">
      <alignment horizontal="left"/>
      <protection/>
    </xf>
    <xf numFmtId="0" fontId="1" fillId="0" borderId="0" xfId="73" applyFont="1" applyAlignment="1">
      <alignment horizontal="right"/>
      <protection/>
    </xf>
    <xf numFmtId="0" fontId="1" fillId="0" borderId="0" xfId="73" applyFont="1" applyAlignment="1">
      <alignment/>
      <protection/>
    </xf>
    <xf numFmtId="167" fontId="1" fillId="0" borderId="0" xfId="73" applyNumberFormat="1" applyFont="1">
      <alignment/>
      <protection/>
    </xf>
    <xf numFmtId="172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 quotePrefix="1">
      <alignment horizontal="center"/>
    </xf>
    <xf numFmtId="0" fontId="1" fillId="0" borderId="26" xfId="73" applyFont="1" applyBorder="1" applyAlignment="1">
      <alignment horizontal="center"/>
      <protection/>
    </xf>
    <xf numFmtId="168" fontId="12" fillId="0" borderId="25" xfId="73" applyNumberFormat="1" applyFont="1" applyBorder="1" applyAlignment="1">
      <alignment/>
      <protection/>
    </xf>
    <xf numFmtId="168" fontId="12" fillId="0" borderId="28" xfId="73" applyNumberFormat="1" applyFont="1" applyBorder="1" applyAlignment="1">
      <alignment/>
      <protection/>
    </xf>
    <xf numFmtId="168" fontId="12" fillId="0" borderId="26" xfId="73" applyNumberFormat="1" applyFont="1" applyBorder="1" applyAlignment="1">
      <alignment/>
      <protection/>
    </xf>
    <xf numFmtId="0" fontId="1" fillId="0" borderId="25" xfId="0" applyFont="1" applyBorder="1" applyAlignment="1">
      <alignment vertical="center" wrapText="1"/>
    </xf>
    <xf numFmtId="175" fontId="1" fillId="0" borderId="0" xfId="0" applyNumberFormat="1" applyFont="1" applyBorder="1" applyAlignment="1">
      <alignment vertical="center"/>
    </xf>
    <xf numFmtId="1" fontId="1" fillId="0" borderId="33" xfId="0" applyNumberFormat="1" applyFont="1" applyBorder="1" applyAlignment="1">
      <alignment horizontal="center"/>
    </xf>
    <xf numFmtId="183" fontId="1" fillId="0" borderId="24" xfId="71" applyNumberFormat="1" applyFont="1" applyBorder="1" applyAlignment="1">
      <alignment horizontal="center" vertical="center"/>
      <protection/>
    </xf>
    <xf numFmtId="169" fontId="1" fillId="0" borderId="51" xfId="65" applyNumberFormat="1" applyFont="1" applyBorder="1" applyAlignment="1">
      <alignment vertical="center"/>
      <protection/>
    </xf>
    <xf numFmtId="169" fontId="1" fillId="0" borderId="36" xfId="65" applyNumberFormat="1" applyFont="1" applyBorder="1" applyAlignment="1">
      <alignment vertical="center"/>
      <protection/>
    </xf>
    <xf numFmtId="169" fontId="1" fillId="0" borderId="77" xfId="65" applyNumberFormat="1" applyFont="1" applyBorder="1" applyAlignment="1">
      <alignment vertical="center"/>
      <protection/>
    </xf>
    <xf numFmtId="188" fontId="1" fillId="0" borderId="84" xfId="65" applyNumberFormat="1" applyFont="1" applyBorder="1" applyAlignment="1">
      <alignment vertical="center"/>
      <protection/>
    </xf>
    <xf numFmtId="188" fontId="1" fillId="0" borderId="74" xfId="65" applyNumberFormat="1" applyFont="1" applyBorder="1" applyAlignment="1">
      <alignment vertical="center"/>
      <protection/>
    </xf>
    <xf numFmtId="188" fontId="1" fillId="0" borderId="18" xfId="64" applyNumberFormat="1" applyFont="1" applyBorder="1" applyAlignment="1">
      <alignment vertical="center"/>
      <protection/>
    </xf>
    <xf numFmtId="188" fontId="1" fillId="0" borderId="23" xfId="64" applyNumberFormat="1" applyFont="1" applyBorder="1" applyAlignment="1">
      <alignment vertical="center"/>
      <protection/>
    </xf>
    <xf numFmtId="0" fontId="1" fillId="0" borderId="15" xfId="0" applyFont="1" applyBorder="1" applyAlignment="1">
      <alignment horizontal="left" wrapText="1" indent="1"/>
    </xf>
    <xf numFmtId="0" fontId="7" fillId="0" borderId="15" xfId="0" applyFont="1" applyBorder="1" applyAlignment="1">
      <alignment horizontal="left" indent="3"/>
    </xf>
    <xf numFmtId="0" fontId="7" fillId="0" borderId="15" xfId="0" applyFont="1" applyBorder="1" applyAlignment="1">
      <alignment horizontal="left" wrapText="1" indent="3"/>
    </xf>
    <xf numFmtId="0" fontId="4" fillId="0" borderId="0" xfId="0" applyFont="1" applyBorder="1" applyAlignment="1">
      <alignment wrapText="1"/>
    </xf>
    <xf numFmtId="171" fontId="3" fillId="0" borderId="0" xfId="42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8" fontId="1" fillId="0" borderId="15" xfId="71" applyNumberFormat="1" applyFont="1" applyBorder="1" applyAlignment="1">
      <alignment horizontal="center" vertical="center"/>
      <protection/>
    </xf>
    <xf numFmtId="168" fontId="1" fillId="0" borderId="17" xfId="71" applyNumberFormat="1" applyFont="1" applyBorder="1" applyAlignment="1">
      <alignment horizontal="center" vertical="center"/>
      <protection/>
    </xf>
    <xf numFmtId="168" fontId="1" fillId="0" borderId="20" xfId="71" applyNumberFormat="1" applyFont="1" applyBorder="1" applyAlignment="1">
      <alignment horizontal="center" vertical="center"/>
      <protection/>
    </xf>
    <xf numFmtId="168" fontId="1" fillId="0" borderId="13" xfId="71" applyNumberFormat="1" applyFont="1" applyBorder="1" applyAlignment="1">
      <alignment horizontal="center" vertical="center"/>
      <protection/>
    </xf>
    <xf numFmtId="183" fontId="1" fillId="0" borderId="15" xfId="71" applyNumberFormat="1" applyFont="1" applyBorder="1" applyAlignment="1" quotePrefix="1">
      <alignment horizontal="center" vertical="center"/>
      <protection/>
    </xf>
    <xf numFmtId="183" fontId="1" fillId="0" borderId="33" xfId="71" applyNumberFormat="1" applyFont="1" applyBorder="1" applyAlignment="1" quotePrefix="1">
      <alignment horizontal="center" vertical="center"/>
      <protection/>
    </xf>
    <xf numFmtId="183" fontId="1" fillId="0" borderId="21" xfId="71" applyNumberFormat="1" applyFont="1" applyBorder="1" applyAlignment="1" quotePrefix="1">
      <alignment horizontal="center" vertical="center"/>
      <protection/>
    </xf>
    <xf numFmtId="183" fontId="1" fillId="0" borderId="17" xfId="71" applyNumberFormat="1" applyFont="1" applyBorder="1" applyAlignment="1" quotePrefix="1">
      <alignment horizontal="center" vertical="center"/>
      <protection/>
    </xf>
    <xf numFmtId="183" fontId="1" fillId="0" borderId="13" xfId="71" applyNumberFormat="1" applyFont="1" applyBorder="1" applyAlignment="1" quotePrefix="1">
      <alignment horizontal="center" vertical="center"/>
      <protection/>
    </xf>
    <xf numFmtId="183" fontId="1" fillId="0" borderId="28" xfId="74" applyNumberFormat="1" applyFont="1" applyBorder="1" applyAlignment="1">
      <alignment horizontal="right" vertical="center"/>
      <protection/>
    </xf>
    <xf numFmtId="38" fontId="1" fillId="0" borderId="22" xfId="64" applyNumberFormat="1" applyFont="1" applyBorder="1" applyAlignment="1">
      <alignment vertical="center"/>
      <protection/>
    </xf>
    <xf numFmtId="38" fontId="1" fillId="0" borderId="24" xfId="64" applyNumberFormat="1" applyFont="1" applyBorder="1" applyAlignment="1">
      <alignment vertical="center"/>
      <protection/>
    </xf>
    <xf numFmtId="38" fontId="1" fillId="0" borderId="37" xfId="64" applyNumberFormat="1" applyFont="1" applyBorder="1" applyAlignment="1">
      <alignment vertical="center"/>
      <protection/>
    </xf>
    <xf numFmtId="38" fontId="1" fillId="0" borderId="38" xfId="64" applyNumberFormat="1" applyFont="1" applyBorder="1" applyAlignment="1">
      <alignment vertical="center"/>
      <protection/>
    </xf>
    <xf numFmtId="167" fontId="12" fillId="0" borderId="36" xfId="73" applyNumberFormat="1" applyFont="1" applyBorder="1" applyAlignment="1">
      <alignment/>
      <protection/>
    </xf>
    <xf numFmtId="0" fontId="12" fillId="0" borderId="14" xfId="73" applyFont="1" applyFill="1" applyBorder="1" applyAlignment="1">
      <alignment horizontal="left"/>
      <protection/>
    </xf>
    <xf numFmtId="167" fontId="12" fillId="0" borderId="22" xfId="73" applyNumberFormat="1" applyFont="1" applyBorder="1" applyAlignment="1">
      <alignment/>
      <protection/>
    </xf>
    <xf numFmtId="0" fontId="13" fillId="0" borderId="0" xfId="63" applyFont="1" applyAlignment="1" quotePrefix="1">
      <alignment horizontal="left"/>
      <protection/>
    </xf>
    <xf numFmtId="0" fontId="13" fillId="0" borderId="0" xfId="63" applyFont="1">
      <alignment/>
      <protection/>
    </xf>
    <xf numFmtId="198" fontId="13" fillId="0" borderId="0" xfId="45" applyNumberFormat="1" applyFont="1" applyAlignment="1">
      <alignment/>
    </xf>
    <xf numFmtId="0" fontId="4" fillId="0" borderId="0" xfId="63" applyFont="1">
      <alignment/>
      <protection/>
    </xf>
    <xf numFmtId="0" fontId="12" fillId="0" borderId="0" xfId="63" applyFont="1">
      <alignment/>
      <protection/>
    </xf>
    <xf numFmtId="198" fontId="12" fillId="0" borderId="0" xfId="45" applyNumberFormat="1" applyFont="1" applyAlignment="1">
      <alignment/>
    </xf>
    <xf numFmtId="0" fontId="1" fillId="0" borderId="12" xfId="63" applyFont="1" applyBorder="1" applyAlignment="1">
      <alignment horizontal="centerContinuous"/>
      <protection/>
    </xf>
    <xf numFmtId="0" fontId="1" fillId="0" borderId="29" xfId="63" applyFont="1" applyBorder="1" applyAlignment="1">
      <alignment horizontal="centerContinuous"/>
      <protection/>
    </xf>
    <xf numFmtId="198" fontId="1" fillId="0" borderId="13" xfId="45" applyNumberFormat="1" applyFont="1" applyBorder="1" applyAlignment="1">
      <alignment horizontal="centerContinuous"/>
    </xf>
    <xf numFmtId="0" fontId="1" fillId="0" borderId="0" xfId="63" applyFont="1">
      <alignment/>
      <protection/>
    </xf>
    <xf numFmtId="0" fontId="1" fillId="0" borderId="16" xfId="63" applyFont="1" applyBorder="1" applyAlignment="1">
      <alignment horizontal="center"/>
      <protection/>
    </xf>
    <xf numFmtId="0" fontId="1" fillId="0" borderId="35" xfId="63" applyFont="1" applyBorder="1" applyAlignment="1">
      <alignment horizontal="center"/>
      <protection/>
    </xf>
    <xf numFmtId="198" fontId="1" fillId="0" borderId="17" xfId="45" applyNumberFormat="1" applyFont="1" applyBorder="1" applyAlignment="1">
      <alignment horizontal="center"/>
    </xf>
    <xf numFmtId="0" fontId="3" fillId="0" borderId="14" xfId="63" applyFont="1" applyBorder="1" applyAlignment="1">
      <alignment/>
      <protection/>
    </xf>
    <xf numFmtId="0" fontId="1" fillId="0" borderId="29" xfId="63" applyFont="1" applyBorder="1">
      <alignment/>
      <protection/>
    </xf>
    <xf numFmtId="183" fontId="1" fillId="0" borderId="29" xfId="63" applyNumberFormat="1" applyFont="1" applyBorder="1" applyAlignment="1">
      <alignment horizontal="right"/>
      <protection/>
    </xf>
    <xf numFmtId="198" fontId="1" fillId="0" borderId="29" xfId="45" applyNumberFormat="1" applyFont="1" applyBorder="1" applyAlignment="1">
      <alignment horizontal="right"/>
    </xf>
    <xf numFmtId="0" fontId="1" fillId="0" borderId="13" xfId="63" applyFont="1" applyBorder="1">
      <alignment/>
      <protection/>
    </xf>
    <xf numFmtId="0" fontId="1" fillId="0" borderId="0" xfId="63" applyFont="1">
      <alignment/>
      <protection/>
    </xf>
    <xf numFmtId="0" fontId="1" fillId="0" borderId="10" xfId="63" applyFont="1" applyBorder="1" applyAlignment="1">
      <alignment horizontal="centerContinuous"/>
      <protection/>
    </xf>
    <xf numFmtId="0" fontId="1" fillId="0" borderId="11" xfId="63" applyFont="1" applyBorder="1" applyAlignment="1">
      <alignment horizontal="centerContinuous"/>
      <protection/>
    </xf>
    <xf numFmtId="168" fontId="1" fillId="0" borderId="10" xfId="45" applyNumberFormat="1" applyFont="1" applyBorder="1" applyAlignment="1">
      <alignment horizontal="right"/>
    </xf>
    <xf numFmtId="168" fontId="1" fillId="0" borderId="36" xfId="45" applyNumberFormat="1" applyFont="1" applyBorder="1" applyAlignment="1">
      <alignment horizontal="right"/>
    </xf>
    <xf numFmtId="168" fontId="1" fillId="0" borderId="11" xfId="45" applyNumberFormat="1" applyFont="1" applyBorder="1" applyAlignment="1">
      <alignment horizontal="right"/>
    </xf>
    <xf numFmtId="0" fontId="1" fillId="0" borderId="0" xfId="63" applyFont="1" applyAlignment="1">
      <alignment horizontal="centerContinuous"/>
      <protection/>
    </xf>
    <xf numFmtId="0" fontId="1" fillId="0" borderId="14" xfId="63" applyFont="1" applyBorder="1" applyAlignment="1">
      <alignment horizontal="centerContinuous"/>
      <protection/>
    </xf>
    <xf numFmtId="0" fontId="1" fillId="0" borderId="15" xfId="63" applyFont="1" applyBorder="1" applyAlignment="1">
      <alignment horizontal="centerContinuous"/>
      <protection/>
    </xf>
    <xf numFmtId="168" fontId="1" fillId="0" borderId="14" xfId="45" applyNumberFormat="1" applyFont="1" applyBorder="1" applyAlignment="1">
      <alignment horizontal="right"/>
    </xf>
    <xf numFmtId="168" fontId="1" fillId="0" borderId="37" xfId="45" applyNumberFormat="1" applyFont="1" applyBorder="1" applyAlignment="1">
      <alignment horizontal="right"/>
    </xf>
    <xf numFmtId="168" fontId="1" fillId="0" borderId="15" xfId="45" applyNumberFormat="1" applyFont="1" applyBorder="1" applyAlignment="1">
      <alignment horizontal="right"/>
    </xf>
    <xf numFmtId="168" fontId="1" fillId="0" borderId="16" xfId="45" applyNumberFormat="1" applyFont="1" applyBorder="1" applyAlignment="1">
      <alignment horizontal="right"/>
    </xf>
    <xf numFmtId="168" fontId="1" fillId="0" borderId="17" xfId="45" applyNumberFormat="1" applyFont="1" applyBorder="1" applyAlignment="1">
      <alignment horizontal="right"/>
    </xf>
    <xf numFmtId="0" fontId="3" fillId="0" borderId="12" xfId="63" applyFont="1" applyBorder="1" applyAlignment="1">
      <alignment horizontal="centerContinuous"/>
      <protection/>
    </xf>
    <xf numFmtId="0" fontId="1" fillId="0" borderId="13" xfId="63" applyFont="1" applyBorder="1" applyAlignment="1">
      <alignment horizontal="centerContinuous"/>
      <protection/>
    </xf>
    <xf numFmtId="168" fontId="1" fillId="0" borderId="12" xfId="45" applyNumberFormat="1" applyFont="1" applyBorder="1" applyAlignment="1">
      <alignment horizontal="right"/>
    </xf>
    <xf numFmtId="168" fontId="1" fillId="0" borderId="35" xfId="45" applyNumberFormat="1" applyFont="1" applyBorder="1" applyAlignment="1">
      <alignment horizontal="right"/>
    </xf>
    <xf numFmtId="0" fontId="3" fillId="0" borderId="14" xfId="63" applyFont="1" applyBorder="1" applyAlignment="1">
      <alignment horizontal="left"/>
      <protection/>
    </xf>
    <xf numFmtId="0" fontId="1" fillId="0" borderId="18" xfId="63" applyFont="1" applyBorder="1" applyAlignment="1">
      <alignment horizontal="centerContinuous"/>
      <protection/>
    </xf>
    <xf numFmtId="0" fontId="1" fillId="0" borderId="29" xfId="63" applyFont="1" applyBorder="1" applyAlignment="1">
      <alignment horizontal="centerContinuous"/>
      <protection/>
    </xf>
    <xf numFmtId="198" fontId="1" fillId="0" borderId="29" xfId="45" applyNumberFormat="1" applyFont="1" applyBorder="1" applyAlignment="1">
      <alignment/>
    </xf>
    <xf numFmtId="198" fontId="1" fillId="0" borderId="13" xfId="45" applyNumberFormat="1" applyFont="1" applyBorder="1" applyAlignment="1">
      <alignment/>
    </xf>
    <xf numFmtId="0" fontId="1" fillId="0" borderId="0" xfId="63" applyFont="1" applyAlignment="1">
      <alignment horizontal="centerContinuous"/>
      <protection/>
    </xf>
    <xf numFmtId="168" fontId="1" fillId="0" borderId="36" xfId="45" applyNumberFormat="1" applyFont="1" applyBorder="1" applyAlignment="1">
      <alignment horizontal="right"/>
    </xf>
    <xf numFmtId="168" fontId="1" fillId="0" borderId="37" xfId="45" applyNumberFormat="1" applyFont="1" applyBorder="1" applyAlignment="1">
      <alignment horizontal="right"/>
    </xf>
    <xf numFmtId="168" fontId="1" fillId="0" borderId="38" xfId="45" applyNumberFormat="1" applyFont="1" applyBorder="1" applyAlignment="1">
      <alignment horizontal="right"/>
    </xf>
    <xf numFmtId="0" fontId="1" fillId="0" borderId="12" xfId="63" applyFont="1" applyBorder="1" applyAlignment="1">
      <alignment horizontal="centerContinuous"/>
      <protection/>
    </xf>
    <xf numFmtId="0" fontId="3" fillId="0" borderId="16" xfId="63" applyFont="1" applyBorder="1" applyAlignment="1">
      <alignment horizontal="left"/>
      <protection/>
    </xf>
    <xf numFmtId="183" fontId="1" fillId="0" borderId="29" xfId="63" applyNumberFormat="1" applyFont="1" applyBorder="1" applyAlignment="1">
      <alignment horizontal="centerContinuous"/>
      <protection/>
    </xf>
    <xf numFmtId="0" fontId="19" fillId="0" borderId="29" xfId="63" applyFont="1" applyBorder="1">
      <alignment/>
      <protection/>
    </xf>
    <xf numFmtId="38" fontId="1" fillId="0" borderId="29" xfId="45" applyNumberFormat="1" applyFont="1" applyBorder="1" applyAlignment="1">
      <alignment/>
    </xf>
    <xf numFmtId="38" fontId="1" fillId="0" borderId="13" xfId="45" applyNumberFormat="1" applyFont="1" applyBorder="1" applyAlignment="1">
      <alignment/>
    </xf>
    <xf numFmtId="168" fontId="1" fillId="0" borderId="85" xfId="45" applyNumberFormat="1" applyFont="1" applyBorder="1" applyAlignment="1">
      <alignment horizontal="right"/>
    </xf>
    <xf numFmtId="0" fontId="1" fillId="0" borderId="0" xfId="63" applyFont="1" applyBorder="1" applyAlignment="1">
      <alignment horizontal="centerContinuous"/>
      <protection/>
    </xf>
    <xf numFmtId="168" fontId="1" fillId="0" borderId="86" xfId="45" applyNumberFormat="1" applyFont="1" applyBorder="1" applyAlignment="1">
      <alignment horizontal="right"/>
    </xf>
    <xf numFmtId="168" fontId="1" fillId="0" borderId="87" xfId="45" applyNumberFormat="1" applyFont="1" applyBorder="1" applyAlignment="1">
      <alignment horizontal="right"/>
    </xf>
    <xf numFmtId="168" fontId="1" fillId="0" borderId="88" xfId="45" applyNumberFormat="1" applyFont="1" applyBorder="1" applyAlignment="1">
      <alignment horizontal="right"/>
    </xf>
    <xf numFmtId="168" fontId="1" fillId="0" borderId="35" xfId="45" applyNumberFormat="1" applyFont="1" applyBorder="1" applyAlignment="1">
      <alignment horizontal="right"/>
    </xf>
    <xf numFmtId="168" fontId="1" fillId="0" borderId="13" xfId="45" applyNumberFormat="1" applyFont="1" applyBorder="1" applyAlignment="1">
      <alignment horizontal="right"/>
    </xf>
    <xf numFmtId="168" fontId="15" fillId="0" borderId="0" xfId="63" applyNumberFormat="1" applyFont="1" applyAlignment="1">
      <alignment horizontal="center"/>
      <protection/>
    </xf>
    <xf numFmtId="0" fontId="13" fillId="0" borderId="0" xfId="62" applyFont="1" applyAlignment="1" quotePrefix="1">
      <alignment horizontal="left"/>
      <protection/>
    </xf>
    <xf numFmtId="0" fontId="13" fillId="0" borderId="0" xfId="62" applyFont="1">
      <alignment/>
      <protection/>
    </xf>
    <xf numFmtId="0" fontId="12" fillId="0" borderId="0" xfId="62" applyFont="1">
      <alignment/>
      <protection/>
    </xf>
    <xf numFmtId="0" fontId="1" fillId="0" borderId="12" xfId="62" applyFont="1" applyBorder="1" applyAlignment="1">
      <alignment horizontal="centerContinuous"/>
      <protection/>
    </xf>
    <xf numFmtId="0" fontId="1" fillId="0" borderId="29" xfId="62" applyFont="1" applyBorder="1" applyAlignment="1">
      <alignment horizontal="centerContinuous"/>
      <protection/>
    </xf>
    <xf numFmtId="198" fontId="1" fillId="0" borderId="13" xfId="44" applyNumberFormat="1" applyFont="1" applyBorder="1" applyAlignment="1">
      <alignment horizontal="centerContinuous"/>
    </xf>
    <xf numFmtId="0" fontId="1" fillId="0" borderId="0" xfId="62" applyFont="1">
      <alignment/>
      <protection/>
    </xf>
    <xf numFmtId="0" fontId="1" fillId="0" borderId="16" xfId="62" applyFont="1" applyBorder="1" applyAlignment="1">
      <alignment horizontal="centerContinuous"/>
      <protection/>
    </xf>
    <xf numFmtId="0" fontId="1" fillId="0" borderId="35" xfId="62" applyFont="1" applyBorder="1" applyAlignment="1">
      <alignment horizontal="centerContinuous"/>
      <protection/>
    </xf>
    <xf numFmtId="198" fontId="1" fillId="0" borderId="17" xfId="44" applyNumberFormat="1" applyFont="1" applyBorder="1" applyAlignment="1">
      <alignment horizontal="centerContinuous"/>
    </xf>
    <xf numFmtId="0" fontId="3" fillId="0" borderId="25" xfId="62" applyFont="1" applyBorder="1" applyAlignment="1">
      <alignment/>
      <protection/>
    </xf>
    <xf numFmtId="0" fontId="1" fillId="0" borderId="14" xfId="62" applyFont="1" applyBorder="1">
      <alignment/>
      <protection/>
    </xf>
    <xf numFmtId="0" fontId="1" fillId="0" borderId="29" xfId="62" applyFont="1" applyBorder="1">
      <alignment/>
      <protection/>
    </xf>
    <xf numFmtId="0" fontId="1" fillId="0" borderId="0" xfId="62" applyFont="1" applyBorder="1">
      <alignment/>
      <protection/>
    </xf>
    <xf numFmtId="0" fontId="1" fillId="0" borderId="0" xfId="62" applyFont="1">
      <alignment/>
      <protection/>
    </xf>
    <xf numFmtId="0" fontId="1" fillId="0" borderId="15" xfId="62" applyFont="1" applyBorder="1">
      <alignment/>
      <protection/>
    </xf>
    <xf numFmtId="0" fontId="1" fillId="0" borderId="10" xfId="62" applyFont="1" applyBorder="1" applyAlignment="1">
      <alignment horizontal="center" vertical="center"/>
      <protection/>
    </xf>
    <xf numFmtId="0" fontId="1" fillId="0" borderId="11" xfId="62" applyFont="1" applyBorder="1" applyAlignment="1">
      <alignment horizontal="centerContinuous"/>
      <protection/>
    </xf>
    <xf numFmtId="169" fontId="1" fillId="0" borderId="10" xfId="62" applyNumberFormat="1" applyFont="1" applyBorder="1" applyAlignment="1">
      <alignment/>
      <protection/>
    </xf>
    <xf numFmtId="169" fontId="1" fillId="0" borderId="36" xfId="62" applyNumberFormat="1" applyFont="1" applyBorder="1" applyAlignment="1">
      <alignment/>
      <protection/>
    </xf>
    <xf numFmtId="169" fontId="1" fillId="0" borderId="11" xfId="44" applyNumberFormat="1" applyFont="1" applyBorder="1" applyAlignment="1">
      <alignment/>
    </xf>
    <xf numFmtId="0" fontId="1" fillId="0" borderId="14" xfId="62" applyFont="1" applyBorder="1" applyAlignment="1">
      <alignment horizontal="center" vertical="center"/>
      <protection/>
    </xf>
    <xf numFmtId="0" fontId="1" fillId="0" borderId="15" xfId="62" applyFont="1" applyBorder="1" applyAlignment="1">
      <alignment horizontal="centerContinuous"/>
      <protection/>
    </xf>
    <xf numFmtId="169" fontId="1" fillId="0" borderId="14" xfId="62" applyNumberFormat="1" applyFont="1" applyBorder="1" applyAlignment="1">
      <alignment/>
      <protection/>
    </xf>
    <xf numFmtId="169" fontId="1" fillId="0" borderId="37" xfId="62" applyNumberFormat="1" applyFont="1" applyBorder="1" applyAlignment="1">
      <alignment/>
      <protection/>
    </xf>
    <xf numFmtId="169" fontId="1" fillId="0" borderId="15" xfId="44" applyNumberFormat="1" applyFont="1" applyBorder="1" applyAlignment="1">
      <alignment/>
    </xf>
    <xf numFmtId="0" fontId="1" fillId="0" borderId="17" xfId="62" applyFont="1" applyBorder="1" applyAlignment="1">
      <alignment horizontal="centerContinuous"/>
      <protection/>
    </xf>
    <xf numFmtId="169" fontId="1" fillId="0" borderId="16" xfId="62" applyNumberFormat="1" applyFont="1" applyBorder="1" applyAlignment="1">
      <alignment/>
      <protection/>
    </xf>
    <xf numFmtId="169" fontId="1" fillId="0" borderId="38" xfId="62" applyNumberFormat="1" applyFont="1" applyBorder="1" applyAlignment="1">
      <alignment/>
      <protection/>
    </xf>
    <xf numFmtId="169" fontId="1" fillId="0" borderId="17" xfId="44" applyNumberFormat="1" applyFont="1" applyBorder="1" applyAlignment="1">
      <alignment/>
    </xf>
    <xf numFmtId="169" fontId="1" fillId="0" borderId="17" xfId="62" applyNumberFormat="1" applyFont="1" applyBorder="1" applyAlignment="1">
      <alignment/>
      <protection/>
    </xf>
    <xf numFmtId="0" fontId="1" fillId="0" borderId="10" xfId="62" applyFont="1" applyBorder="1" applyAlignment="1">
      <alignment horizontal="centerContinuous"/>
      <protection/>
    </xf>
    <xf numFmtId="169" fontId="1" fillId="0" borderId="29" xfId="62" applyNumberFormat="1" applyFont="1" applyBorder="1" applyAlignment="1">
      <alignment/>
      <protection/>
    </xf>
    <xf numFmtId="169" fontId="1" fillId="0" borderId="18" xfId="62" applyNumberFormat="1" applyFont="1" applyBorder="1" applyAlignment="1">
      <alignment/>
      <protection/>
    </xf>
    <xf numFmtId="169" fontId="1" fillId="0" borderId="29" xfId="62" applyNumberFormat="1" applyFont="1" applyBorder="1" applyAlignment="1">
      <alignment/>
      <protection/>
    </xf>
    <xf numFmtId="169" fontId="1" fillId="0" borderId="29" xfId="44" applyNumberFormat="1" applyFont="1" applyBorder="1" applyAlignment="1">
      <alignment/>
    </xf>
    <xf numFmtId="169" fontId="1" fillId="0" borderId="13" xfId="44" applyNumberFormat="1" applyFont="1" applyBorder="1" applyAlignment="1">
      <alignment/>
    </xf>
    <xf numFmtId="169" fontId="1" fillId="0" borderId="11" xfId="62" applyNumberFormat="1" applyFont="1" applyBorder="1" applyAlignment="1">
      <alignment/>
      <protection/>
    </xf>
    <xf numFmtId="169" fontId="1" fillId="0" borderId="13" xfId="62" applyNumberFormat="1" applyFont="1" applyBorder="1" applyAlignment="1">
      <alignment/>
      <protection/>
    </xf>
    <xf numFmtId="0" fontId="3" fillId="0" borderId="27" xfId="62" applyFont="1" applyBorder="1" applyAlignment="1">
      <alignment/>
      <protection/>
    </xf>
    <xf numFmtId="169" fontId="19" fillId="0" borderId="29" xfId="62" applyNumberFormat="1" applyFont="1" applyBorder="1" applyAlignment="1">
      <alignment/>
      <protection/>
    </xf>
    <xf numFmtId="169" fontId="1" fillId="0" borderId="18" xfId="44" applyNumberFormat="1" applyFont="1" applyBorder="1" applyAlignment="1">
      <alignment/>
    </xf>
    <xf numFmtId="169" fontId="1" fillId="0" borderId="36" xfId="44" applyNumberFormat="1" applyFont="1" applyBorder="1" applyAlignment="1">
      <alignment/>
    </xf>
    <xf numFmtId="169" fontId="1" fillId="0" borderId="0" xfId="44" applyNumberFormat="1" applyFont="1" applyBorder="1" applyAlignment="1">
      <alignment/>
    </xf>
    <xf numFmtId="169" fontId="1" fillId="0" borderId="37" xfId="44" applyNumberFormat="1" applyFont="1" applyBorder="1" applyAlignment="1">
      <alignment/>
    </xf>
    <xf numFmtId="169" fontId="1" fillId="0" borderId="23" xfId="44" applyNumberFormat="1" applyFont="1" applyBorder="1" applyAlignment="1">
      <alignment/>
    </xf>
    <xf numFmtId="169" fontId="1" fillId="0" borderId="38" xfId="44" applyNumberFormat="1" applyFont="1" applyBorder="1" applyAlignment="1">
      <alignment/>
    </xf>
    <xf numFmtId="0" fontId="15" fillId="0" borderId="0" xfId="62" applyFont="1">
      <alignment/>
      <protection/>
    </xf>
    <xf numFmtId="168" fontId="15" fillId="0" borderId="0" xfId="62" applyNumberFormat="1" applyFont="1" applyAlignment="1">
      <alignment horizontal="center"/>
      <protection/>
    </xf>
    <xf numFmtId="0" fontId="12" fillId="0" borderId="0" xfId="62" applyFont="1">
      <alignment/>
      <protection/>
    </xf>
    <xf numFmtId="169" fontId="1" fillId="0" borderId="0" xfId="62" applyNumberFormat="1" applyFont="1" applyBorder="1" applyAlignment="1">
      <alignment/>
      <protection/>
    </xf>
    <xf numFmtId="0" fontId="1" fillId="0" borderId="0" xfId="62" applyFont="1" applyBorder="1">
      <alignment/>
      <protection/>
    </xf>
    <xf numFmtId="168" fontId="1" fillId="0" borderId="40" xfId="45" applyNumberFormat="1" applyFont="1" applyBorder="1" applyAlignment="1">
      <alignment horizontal="right"/>
    </xf>
    <xf numFmtId="168" fontId="1" fillId="0" borderId="22" xfId="45" applyNumberFormat="1" applyFont="1" applyBorder="1" applyAlignment="1">
      <alignment horizontal="right"/>
    </xf>
    <xf numFmtId="168" fontId="1" fillId="0" borderId="24" xfId="45" applyNumberFormat="1" applyFont="1" applyBorder="1" applyAlignment="1">
      <alignment horizontal="right"/>
    </xf>
    <xf numFmtId="168" fontId="1" fillId="0" borderId="31" xfId="45" applyNumberFormat="1" applyFont="1" applyBorder="1" applyAlignment="1">
      <alignment horizontal="right"/>
    </xf>
    <xf numFmtId="186" fontId="1" fillId="0" borderId="0" xfId="0" applyNumberFormat="1" applyFont="1" applyBorder="1" applyAlignment="1" quotePrefix="1">
      <alignment horizontal="center" vertical="center"/>
    </xf>
    <xf numFmtId="169" fontId="1" fillId="0" borderId="27" xfId="0" applyNumberFormat="1" applyFont="1" applyBorder="1" applyAlignment="1">
      <alignment vertical="center"/>
    </xf>
    <xf numFmtId="169" fontId="1" fillId="0" borderId="89" xfId="0" applyNumberFormat="1" applyFont="1" applyBorder="1" applyAlignment="1">
      <alignment horizontal="right" vertical="center"/>
    </xf>
    <xf numFmtId="185" fontId="1" fillId="0" borderId="0" xfId="0" applyNumberFormat="1" applyFont="1" applyBorder="1" applyAlignment="1">
      <alignment vertical="center"/>
    </xf>
    <xf numFmtId="169" fontId="1" fillId="0" borderId="82" xfId="0" applyNumberFormat="1" applyFont="1" applyBorder="1" applyAlignment="1" quotePrefix="1">
      <alignment vertical="center"/>
    </xf>
    <xf numFmtId="169" fontId="1" fillId="0" borderId="82" xfId="0" applyNumberFormat="1" applyFont="1" applyBorder="1" applyAlignment="1">
      <alignment horizontal="right" vertical="center"/>
    </xf>
    <xf numFmtId="169" fontId="1" fillId="0" borderId="25" xfId="0" applyNumberFormat="1" applyFont="1" applyBorder="1" applyAlignment="1">
      <alignment vertical="center"/>
    </xf>
    <xf numFmtId="169" fontId="1" fillId="0" borderId="38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 quotePrefix="1">
      <alignment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 quotePrefix="1">
      <alignment horizontal="left" wrapText="1"/>
    </xf>
    <xf numFmtId="0" fontId="1" fillId="0" borderId="0" xfId="0" applyFont="1" applyFill="1" applyAlignment="1" quotePrefix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vertical="top" wrapText="1"/>
    </xf>
    <xf numFmtId="194" fontId="12" fillId="0" borderId="26" xfId="73" applyNumberFormat="1" applyFont="1" applyBorder="1" applyAlignment="1">
      <alignment horizontal="right"/>
      <protection/>
    </xf>
    <xf numFmtId="167" fontId="12" fillId="0" borderId="40" xfId="73" applyNumberFormat="1" applyFont="1" applyBorder="1" applyAlignment="1">
      <alignment horizontal="right"/>
      <protection/>
    </xf>
    <xf numFmtId="173" fontId="12" fillId="0" borderId="36" xfId="73" applyNumberFormat="1" applyFont="1" applyBorder="1" applyAlignment="1">
      <alignment horizontal="center"/>
      <protection/>
    </xf>
    <xf numFmtId="173" fontId="12" fillId="0" borderId="20" xfId="73" applyNumberFormat="1" applyFont="1" applyBorder="1" applyAlignment="1">
      <alignment horizontal="center"/>
      <protection/>
    </xf>
    <xf numFmtId="174" fontId="12" fillId="0" borderId="26" xfId="73" applyNumberFormat="1" applyFont="1" applyBorder="1" applyAlignment="1">
      <alignment horizontal="right"/>
      <protection/>
    </xf>
    <xf numFmtId="167" fontId="12" fillId="0" borderId="0" xfId="73" applyNumberFormat="1" applyFont="1">
      <alignment/>
      <protection/>
    </xf>
    <xf numFmtId="194" fontId="12" fillId="0" borderId="25" xfId="73" applyNumberFormat="1" applyFont="1" applyBorder="1" applyAlignment="1">
      <alignment horizontal="right"/>
      <protection/>
    </xf>
    <xf numFmtId="167" fontId="12" fillId="0" borderId="22" xfId="73" applyNumberFormat="1" applyFont="1" applyBorder="1" applyAlignment="1">
      <alignment horizontal="right"/>
      <protection/>
    </xf>
    <xf numFmtId="167" fontId="12" fillId="0" borderId="37" xfId="73" applyNumberFormat="1" applyFont="1" applyBorder="1" applyAlignment="1">
      <alignment horizontal="center"/>
      <protection/>
    </xf>
    <xf numFmtId="173" fontId="12" fillId="0" borderId="37" xfId="73" applyNumberFormat="1" applyFont="1" applyBorder="1" applyAlignment="1">
      <alignment horizontal="center"/>
      <protection/>
    </xf>
    <xf numFmtId="173" fontId="12" fillId="0" borderId="21" xfId="73" applyNumberFormat="1" applyFont="1" applyBorder="1" applyAlignment="1">
      <alignment horizontal="center"/>
      <protection/>
    </xf>
    <xf numFmtId="174" fontId="12" fillId="0" borderId="25" xfId="73" applyNumberFormat="1" applyFont="1" applyBorder="1" applyAlignment="1">
      <alignment horizontal="right"/>
      <protection/>
    </xf>
    <xf numFmtId="173" fontId="12" fillId="0" borderId="22" xfId="73" applyNumberFormat="1" applyFont="1" applyBorder="1" applyAlignment="1">
      <alignment horizontal="center"/>
      <protection/>
    </xf>
    <xf numFmtId="1" fontId="12" fillId="0" borderId="37" xfId="73" applyNumberFormat="1" applyFont="1" applyBorder="1" applyAlignment="1">
      <alignment horizontal="center"/>
      <protection/>
    </xf>
    <xf numFmtId="194" fontId="12" fillId="0" borderId="28" xfId="73" applyNumberFormat="1" applyFont="1" applyBorder="1" applyAlignment="1">
      <alignment horizontal="right"/>
      <protection/>
    </xf>
    <xf numFmtId="193" fontId="12" fillId="0" borderId="28" xfId="73" applyNumberFormat="1" applyFont="1" applyBorder="1" applyAlignment="1">
      <alignment horizontal="right"/>
      <protection/>
    </xf>
    <xf numFmtId="0" fontId="1" fillId="0" borderId="23" xfId="75" applyFont="1" applyBorder="1">
      <alignment/>
      <protection/>
    </xf>
    <xf numFmtId="0" fontId="1" fillId="0" borderId="23" xfId="75" applyFont="1" applyBorder="1" applyAlignment="1">
      <alignment/>
      <protection/>
    </xf>
    <xf numFmtId="0" fontId="1" fillId="0" borderId="40" xfId="76" applyFont="1" applyBorder="1" applyAlignment="1">
      <alignment horizontal="center"/>
      <protection/>
    </xf>
    <xf numFmtId="167" fontId="12" fillId="0" borderId="35" xfId="73" applyNumberFormat="1" applyFont="1" applyBorder="1" applyAlignment="1">
      <alignment horizontal="center"/>
      <protection/>
    </xf>
    <xf numFmtId="167" fontId="12" fillId="0" borderId="19" xfId="73" applyNumberFormat="1" applyFont="1" applyBorder="1" applyAlignment="1">
      <alignment horizontal="center"/>
      <protection/>
    </xf>
    <xf numFmtId="0" fontId="1" fillId="0" borderId="0" xfId="0" applyFont="1" applyAlignment="1">
      <alignment horizontal="left" vertical="center"/>
    </xf>
    <xf numFmtId="0" fontId="1" fillId="0" borderId="0" xfId="0" applyFont="1" applyAlignment="1" quotePrefix="1">
      <alignment vertical="center" wrapText="1"/>
    </xf>
    <xf numFmtId="0" fontId="13" fillId="0" borderId="0" xfId="72" applyFont="1" applyAlignment="1">
      <alignment horizontal="left"/>
      <protection/>
    </xf>
    <xf numFmtId="0" fontId="1" fillId="0" borderId="90" xfId="0" applyFont="1" applyBorder="1" applyAlignment="1">
      <alignment/>
    </xf>
    <xf numFmtId="0" fontId="1" fillId="0" borderId="91" xfId="0" applyFont="1" applyBorder="1" applyAlignment="1">
      <alignment/>
    </xf>
    <xf numFmtId="0" fontId="1" fillId="0" borderId="92" xfId="0" applyFont="1" applyBorder="1" applyAlignment="1">
      <alignment/>
    </xf>
    <xf numFmtId="0" fontId="1" fillId="0" borderId="93" xfId="0" applyFont="1" applyBorder="1" applyAlignment="1">
      <alignment/>
    </xf>
    <xf numFmtId="0" fontId="1" fillId="0" borderId="92" xfId="0" applyFont="1" applyFill="1" applyBorder="1" applyAlignment="1">
      <alignment/>
    </xf>
    <xf numFmtId="0" fontId="27" fillId="0" borderId="0" xfId="0" applyFont="1" applyAlignment="1">
      <alignment/>
    </xf>
    <xf numFmtId="0" fontId="1" fillId="0" borderId="92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94" xfId="0" applyFont="1" applyBorder="1" applyAlignment="1">
      <alignment wrapText="1"/>
    </xf>
    <xf numFmtId="0" fontId="1" fillId="0" borderId="91" xfId="0" applyFont="1" applyBorder="1" applyAlignment="1">
      <alignment wrapText="1"/>
    </xf>
    <xf numFmtId="0" fontId="1" fillId="0" borderId="28" xfId="0" applyFont="1" applyBorder="1" applyAlignment="1">
      <alignment horizontal="center"/>
    </xf>
    <xf numFmtId="0" fontId="12" fillId="0" borderId="0" xfId="0" applyFont="1" applyAlignment="1">
      <alignment horizontal="center"/>
    </xf>
    <xf numFmtId="3" fontId="1" fillId="0" borderId="90" xfId="0" applyNumberFormat="1" applyFont="1" applyBorder="1" applyAlignment="1">
      <alignment horizontal="center"/>
    </xf>
    <xf numFmtId="3" fontId="1" fillId="0" borderId="91" xfId="0" applyNumberFormat="1" applyFont="1" applyBorder="1" applyAlignment="1">
      <alignment horizontal="center"/>
    </xf>
    <xf numFmtId="0" fontId="1" fillId="0" borderId="91" xfId="0" applyFont="1" applyBorder="1" applyAlignment="1">
      <alignment horizontal="center"/>
    </xf>
    <xf numFmtId="0" fontId="1" fillId="0" borderId="92" xfId="0" applyFont="1" applyBorder="1" applyAlignment="1">
      <alignment horizontal="center"/>
    </xf>
    <xf numFmtId="0" fontId="1" fillId="0" borderId="90" xfId="0" applyFont="1" applyBorder="1" applyAlignment="1">
      <alignment horizontal="center"/>
    </xf>
    <xf numFmtId="0" fontId="1" fillId="0" borderId="93" xfId="0" applyFont="1" applyBorder="1" applyAlignment="1">
      <alignment horizontal="center"/>
    </xf>
    <xf numFmtId="166" fontId="1" fillId="0" borderId="92" xfId="0" applyNumberFormat="1" applyFont="1" applyBorder="1" applyAlignment="1">
      <alignment horizontal="center"/>
    </xf>
    <xf numFmtId="0" fontId="1" fillId="0" borderId="90" xfId="0" applyFont="1" applyFill="1" applyBorder="1" applyAlignment="1">
      <alignment horizontal="center"/>
    </xf>
    <xf numFmtId="1" fontId="1" fillId="0" borderId="91" xfId="0" applyNumberFormat="1" applyFont="1" applyBorder="1" applyAlignment="1">
      <alignment horizontal="center"/>
    </xf>
    <xf numFmtId="1" fontId="1" fillId="0" borderId="93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92" xfId="0" applyFont="1" applyFill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91" xfId="0" applyNumberFormat="1" applyFont="1" applyBorder="1" applyAlignment="1">
      <alignment horizontal="center"/>
    </xf>
    <xf numFmtId="0" fontId="1" fillId="0" borderId="94" xfId="0" applyFont="1" applyBorder="1" applyAlignment="1">
      <alignment horizontal="center"/>
    </xf>
    <xf numFmtId="0" fontId="1" fillId="0" borderId="71" xfId="64" applyFont="1" applyBorder="1" applyAlignment="1">
      <alignment horizontal="center" vertical="center" wrapText="1"/>
      <protection/>
    </xf>
    <xf numFmtId="0" fontId="1" fillId="0" borderId="35" xfId="64" applyFont="1" applyBorder="1" applyAlignment="1">
      <alignment horizontal="center" vertical="center" wrapText="1"/>
      <protection/>
    </xf>
    <xf numFmtId="0" fontId="1" fillId="0" borderId="72" xfId="64" applyFont="1" applyBorder="1" applyAlignment="1">
      <alignment horizontal="center" vertical="center" wrapText="1"/>
      <protection/>
    </xf>
    <xf numFmtId="0" fontId="13" fillId="0" borderId="0" xfId="64" applyFont="1" applyAlignment="1">
      <alignment/>
      <protection/>
    </xf>
    <xf numFmtId="190" fontId="1" fillId="0" borderId="23" xfId="0" applyNumberFormat="1" applyFont="1" applyBorder="1" applyAlignment="1">
      <alignment/>
    </xf>
    <xf numFmtId="190" fontId="1" fillId="0" borderId="24" xfId="0" applyNumberFormat="1" applyFont="1" applyBorder="1" applyAlignment="1">
      <alignment/>
    </xf>
    <xf numFmtId="0" fontId="1" fillId="0" borderId="10" xfId="72" applyFont="1" applyBorder="1" applyAlignment="1">
      <alignment horizontal="center" vertical="center" wrapText="1"/>
      <protection/>
    </xf>
    <xf numFmtId="0" fontId="1" fillId="0" borderId="18" xfId="72" applyFont="1" applyBorder="1" applyAlignment="1">
      <alignment horizontal="center" vertical="center" wrapText="1"/>
      <protection/>
    </xf>
    <xf numFmtId="0" fontId="1" fillId="0" borderId="16" xfId="72" applyFont="1" applyBorder="1" applyAlignment="1">
      <alignment horizontal="center" vertical="center" wrapText="1"/>
      <protection/>
    </xf>
    <xf numFmtId="0" fontId="1" fillId="0" borderId="23" xfId="72" applyFont="1" applyBorder="1" applyAlignment="1">
      <alignment horizontal="center" vertical="center" wrapText="1"/>
      <protection/>
    </xf>
    <xf numFmtId="0" fontId="12" fillId="0" borderId="29" xfId="72" applyFont="1" applyBorder="1" applyAlignment="1">
      <alignment horizontal="center" vertical="center" wrapText="1"/>
      <protection/>
    </xf>
    <xf numFmtId="0" fontId="1" fillId="0" borderId="29" xfId="72" applyFont="1" applyBorder="1" applyAlignment="1">
      <alignment horizontal="center" vertical="center" wrapText="1"/>
      <protection/>
    </xf>
    <xf numFmtId="183" fontId="12" fillId="0" borderId="14" xfId="72" applyNumberFormat="1" applyFont="1" applyBorder="1" applyAlignment="1">
      <alignment horizontal="center"/>
      <protection/>
    </xf>
    <xf numFmtId="183" fontId="12" fillId="0" borderId="15" xfId="72" applyNumberFormat="1" applyFont="1" applyBorder="1" applyAlignment="1">
      <alignment horizontal="center"/>
      <protection/>
    </xf>
    <xf numFmtId="183" fontId="12" fillId="0" borderId="33" xfId="72" applyNumberFormat="1" applyFont="1" applyBorder="1" applyAlignment="1">
      <alignment horizontal="center"/>
      <protection/>
    </xf>
    <xf numFmtId="198" fontId="1" fillId="0" borderId="17" xfId="44" applyNumberFormat="1" applyFont="1" applyBorder="1" applyAlignment="1">
      <alignment horizontal="center"/>
    </xf>
    <xf numFmtId="0" fontId="13" fillId="0" borderId="0" xfId="68" applyFont="1">
      <alignment/>
      <protection/>
    </xf>
    <xf numFmtId="0" fontId="3" fillId="0" borderId="0" xfId="68" applyFont="1" applyAlignment="1">
      <alignment/>
      <protection/>
    </xf>
    <xf numFmtId="0" fontId="1" fillId="0" borderId="27" xfId="73" applyFont="1" applyBorder="1" applyAlignment="1">
      <alignment horizontal="center" vertical="center"/>
      <protection/>
    </xf>
    <xf numFmtId="0" fontId="13" fillId="0" borderId="0" xfId="69" applyFont="1">
      <alignment/>
      <protection/>
    </xf>
    <xf numFmtId="0" fontId="12" fillId="0" borderId="0" xfId="73" applyFont="1" applyFill="1">
      <alignment/>
      <protection/>
    </xf>
    <xf numFmtId="167" fontId="12" fillId="0" borderId="25" xfId="73" applyNumberFormat="1" applyFont="1" applyFill="1" applyBorder="1" applyAlignment="1">
      <alignment horizontal="center"/>
      <protection/>
    </xf>
    <xf numFmtId="167" fontId="12" fillId="0" borderId="26" xfId="73" applyNumberFormat="1" applyFont="1" applyFill="1" applyBorder="1" applyAlignment="1">
      <alignment horizontal="center"/>
      <protection/>
    </xf>
    <xf numFmtId="192" fontId="12" fillId="0" borderId="25" xfId="73" applyNumberFormat="1" applyFont="1" applyFill="1" applyBorder="1" applyAlignment="1">
      <alignment horizontal="center"/>
      <protection/>
    </xf>
    <xf numFmtId="167" fontId="12" fillId="0" borderId="28" xfId="73" applyNumberFormat="1" applyFont="1" applyFill="1" applyBorder="1" applyAlignment="1">
      <alignment horizontal="center"/>
      <protection/>
    </xf>
    <xf numFmtId="167" fontId="12" fillId="0" borderId="37" xfId="73" applyNumberFormat="1" applyFont="1" applyBorder="1" applyAlignment="1">
      <alignment horizontal="right"/>
      <protection/>
    </xf>
    <xf numFmtId="1" fontId="12" fillId="0" borderId="21" xfId="73" applyNumberFormat="1" applyFont="1" applyBorder="1" applyAlignment="1">
      <alignment horizontal="center"/>
      <protection/>
    </xf>
    <xf numFmtId="167" fontId="12" fillId="0" borderId="31" xfId="73" applyNumberFormat="1" applyFont="1" applyBorder="1" applyAlignment="1">
      <alignment horizontal="right"/>
      <protection/>
    </xf>
    <xf numFmtId="1" fontId="12" fillId="0" borderId="35" xfId="73" applyNumberFormat="1" applyFont="1" applyBorder="1" applyAlignment="1">
      <alignment horizontal="center"/>
      <protection/>
    </xf>
    <xf numFmtId="0" fontId="1" fillId="0" borderId="35" xfId="0" applyFont="1" applyBorder="1" applyAlignment="1">
      <alignment horizontal="center" wrapText="1"/>
    </xf>
    <xf numFmtId="0" fontId="1" fillId="0" borderId="10" xfId="0" applyFont="1" applyBorder="1" applyAlignment="1">
      <alignment horizontal="centerContinuous" wrapText="1"/>
    </xf>
    <xf numFmtId="0" fontId="1" fillId="0" borderId="29" xfId="0" applyFont="1" applyBorder="1" applyAlignment="1">
      <alignment horizontal="centerContinuous" wrapText="1"/>
    </xf>
    <xf numFmtId="0" fontId="1" fillId="0" borderId="71" xfId="65" applyFont="1" applyBorder="1" applyAlignment="1">
      <alignment horizontal="centerContinuous" vertical="center" wrapText="1"/>
      <protection/>
    </xf>
    <xf numFmtId="0" fontId="1" fillId="0" borderId="43" xfId="0" applyFont="1" applyBorder="1" applyAlignment="1">
      <alignment horizontal="centerContinuous" wrapText="1"/>
    </xf>
    <xf numFmtId="0" fontId="4" fillId="0" borderId="0" xfId="76" applyFont="1" applyAlignment="1">
      <alignment/>
      <protection/>
    </xf>
    <xf numFmtId="0" fontId="28" fillId="0" borderId="0" xfId="0" applyFont="1" applyAlignment="1">
      <alignment/>
    </xf>
    <xf numFmtId="0" fontId="29" fillId="0" borderId="14" xfId="0" applyFont="1" applyBorder="1" applyAlignment="1">
      <alignment wrapText="1"/>
    </xf>
    <xf numFmtId="180" fontId="1" fillId="0" borderId="27" xfId="0" applyNumberFormat="1" applyFont="1" applyFill="1" applyBorder="1" applyAlignment="1">
      <alignment vertical="center"/>
    </xf>
    <xf numFmtId="3" fontId="1" fillId="0" borderId="91" xfId="0" applyNumberFormat="1" applyFont="1" applyFill="1" applyBorder="1" applyAlignment="1">
      <alignment horizontal="center"/>
    </xf>
    <xf numFmtId="0" fontId="1" fillId="0" borderId="91" xfId="0" applyFont="1" applyFill="1" applyBorder="1" applyAlignment="1">
      <alignment horizontal="center"/>
    </xf>
    <xf numFmtId="1" fontId="1" fillId="0" borderId="91" xfId="0" applyNumberFormat="1" applyFont="1" applyFill="1" applyBorder="1" applyAlignment="1">
      <alignment horizontal="center"/>
    </xf>
    <xf numFmtId="1" fontId="1" fillId="0" borderId="93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/>
    </xf>
    <xf numFmtId="0" fontId="1" fillId="0" borderId="93" xfId="0" applyFont="1" applyFill="1" applyBorder="1" applyAlignment="1">
      <alignment horizontal="center"/>
    </xf>
    <xf numFmtId="164" fontId="1" fillId="0" borderId="26" xfId="0" applyNumberFormat="1" applyFont="1" applyFill="1" applyBorder="1" applyAlignment="1">
      <alignment horizontal="center"/>
    </xf>
    <xf numFmtId="164" fontId="1" fillId="0" borderId="91" xfId="0" applyNumberFormat="1" applyFont="1" applyFill="1" applyBorder="1" applyAlignment="1">
      <alignment horizontal="center"/>
    </xf>
    <xf numFmtId="0" fontId="1" fillId="0" borderId="94" xfId="0" applyFont="1" applyFill="1" applyBorder="1" applyAlignment="1">
      <alignment horizontal="center"/>
    </xf>
    <xf numFmtId="0" fontId="1" fillId="0" borderId="14" xfId="72" applyFont="1" applyBorder="1" applyAlignment="1">
      <alignment wrapText="1"/>
      <protection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14" xfId="42" applyNumberFormat="1" applyFont="1" applyBorder="1" applyAlignment="1">
      <alignment horizontal="center"/>
    </xf>
    <xf numFmtId="164" fontId="1" fillId="0" borderId="15" xfId="42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177" fontId="3" fillId="0" borderId="14" xfId="42" applyNumberFormat="1" applyFont="1" applyBorder="1" applyAlignment="1">
      <alignment/>
    </xf>
    <xf numFmtId="177" fontId="3" fillId="0" borderId="15" xfId="42" applyNumberFormat="1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197" fontId="1" fillId="0" borderId="10" xfId="0" applyNumberFormat="1" applyFont="1" applyBorder="1" applyAlignment="1">
      <alignment vertical="center"/>
    </xf>
    <xf numFmtId="197" fontId="1" fillId="0" borderId="18" xfId="0" applyNumberFormat="1" applyFont="1" applyBorder="1" applyAlignment="1">
      <alignment vertical="center"/>
    </xf>
    <xf numFmtId="197" fontId="1" fillId="0" borderId="11" xfId="0" applyNumberFormat="1" applyFont="1" applyBorder="1" applyAlignment="1">
      <alignment vertical="center"/>
    </xf>
    <xf numFmtId="195" fontId="1" fillId="0" borderId="10" xfId="0" applyNumberFormat="1" applyFont="1" applyBorder="1" applyAlignment="1">
      <alignment horizontal="left" vertical="center"/>
    </xf>
    <xf numFmtId="195" fontId="1" fillId="0" borderId="11" xfId="0" applyNumberFormat="1" applyFont="1" applyBorder="1" applyAlignment="1">
      <alignment horizontal="left" vertical="center"/>
    </xf>
    <xf numFmtId="196" fontId="1" fillId="0" borderId="10" xfId="0" applyNumberFormat="1" applyFont="1" applyBorder="1" applyAlignment="1">
      <alignment horizontal="right" vertical="center"/>
    </xf>
    <xf numFmtId="196" fontId="1" fillId="0" borderId="18" xfId="0" applyNumberFormat="1" applyFont="1" applyBorder="1" applyAlignment="1">
      <alignment horizontal="right" vertical="center"/>
    </xf>
    <xf numFmtId="196" fontId="1" fillId="0" borderId="11" xfId="0" applyNumberFormat="1" applyFont="1" applyBorder="1" applyAlignment="1">
      <alignment horizontal="right" vertical="center"/>
    </xf>
    <xf numFmtId="197" fontId="1" fillId="0" borderId="14" xfId="0" applyNumberFormat="1" applyFont="1" applyBorder="1" applyAlignment="1">
      <alignment horizontal="right" vertical="center"/>
    </xf>
    <xf numFmtId="197" fontId="1" fillId="0" borderId="25" xfId="0" applyNumberFormat="1" applyFont="1" applyBorder="1" applyAlignment="1">
      <alignment horizontal="right" vertical="center"/>
    </xf>
    <xf numFmtId="197" fontId="1" fillId="0" borderId="15" xfId="0" applyNumberFormat="1" applyFont="1" applyBorder="1" applyAlignment="1">
      <alignment horizontal="right" vertical="center"/>
    </xf>
    <xf numFmtId="195" fontId="1" fillId="0" borderId="25" xfId="0" applyNumberFormat="1" applyFont="1" applyBorder="1" applyAlignment="1">
      <alignment horizontal="left" vertical="center"/>
    </xf>
    <xf numFmtId="196" fontId="1" fillId="0" borderId="14" xfId="0" applyNumberFormat="1" applyFont="1" applyBorder="1" applyAlignment="1">
      <alignment horizontal="right" vertical="center"/>
    </xf>
    <xf numFmtId="196" fontId="1" fillId="0" borderId="0" xfId="0" applyNumberFormat="1" applyFont="1" applyBorder="1" applyAlignment="1">
      <alignment horizontal="right" vertical="center"/>
    </xf>
    <xf numFmtId="196" fontId="1" fillId="0" borderId="15" xfId="0" applyNumberFormat="1" applyFont="1" applyBorder="1" applyAlignment="1">
      <alignment horizontal="right" vertical="center"/>
    </xf>
    <xf numFmtId="195" fontId="1" fillId="0" borderId="14" xfId="0" applyNumberFormat="1" applyFont="1" applyBorder="1" applyAlignment="1">
      <alignment horizontal="center" vertical="center"/>
    </xf>
    <xf numFmtId="195" fontId="1" fillId="0" borderId="15" xfId="0" applyNumberFormat="1" applyFont="1" applyBorder="1" applyAlignment="1">
      <alignment horizontal="center" vertical="center"/>
    </xf>
    <xf numFmtId="196" fontId="1" fillId="0" borderId="14" xfId="0" applyNumberFormat="1" applyFont="1" applyBorder="1" applyAlignment="1">
      <alignment horizontal="center" vertical="center"/>
    </xf>
    <xf numFmtId="196" fontId="1" fillId="0" borderId="0" xfId="0" applyNumberFormat="1" applyFont="1" applyBorder="1" applyAlignment="1">
      <alignment horizontal="center" vertical="center"/>
    </xf>
    <xf numFmtId="196" fontId="1" fillId="0" borderId="15" xfId="0" applyNumberFormat="1" applyFont="1" applyBorder="1" applyAlignment="1">
      <alignment horizontal="center" vertical="center"/>
    </xf>
    <xf numFmtId="197" fontId="1" fillId="0" borderId="16" xfId="0" applyNumberFormat="1" applyFont="1" applyFill="1" applyBorder="1" applyAlignment="1">
      <alignment horizontal="right" vertical="center"/>
    </xf>
    <xf numFmtId="197" fontId="1" fillId="0" borderId="27" xfId="0" applyNumberFormat="1" applyFont="1" applyFill="1" applyBorder="1" applyAlignment="1">
      <alignment horizontal="right" vertical="center"/>
    </xf>
    <xf numFmtId="197" fontId="1" fillId="0" borderId="17" xfId="0" applyNumberFormat="1" applyFont="1" applyFill="1" applyBorder="1" applyAlignment="1">
      <alignment horizontal="right" vertical="center"/>
    </xf>
    <xf numFmtId="195" fontId="1" fillId="0" borderId="16" xfId="0" applyNumberFormat="1" applyFont="1" applyBorder="1" applyAlignment="1">
      <alignment horizontal="center" vertical="center"/>
    </xf>
    <xf numFmtId="195" fontId="1" fillId="0" borderId="17" xfId="0" applyNumberFormat="1" applyFont="1" applyBorder="1" applyAlignment="1">
      <alignment horizontal="center" vertical="center"/>
    </xf>
    <xf numFmtId="196" fontId="1" fillId="0" borderId="16" xfId="0" applyNumberFormat="1" applyFont="1" applyBorder="1" applyAlignment="1">
      <alignment horizontal="center" vertical="center"/>
    </xf>
    <xf numFmtId="196" fontId="1" fillId="0" borderId="23" xfId="0" applyNumberFormat="1" applyFont="1" applyBorder="1" applyAlignment="1">
      <alignment horizontal="center" vertical="center"/>
    </xf>
    <xf numFmtId="196" fontId="1" fillId="0" borderId="17" xfId="0" applyNumberFormat="1" applyFont="1" applyBorder="1" applyAlignment="1">
      <alignment horizontal="center" vertical="center"/>
    </xf>
    <xf numFmtId="197" fontId="1" fillId="0" borderId="10" xfId="0" applyNumberFormat="1" applyFont="1" applyBorder="1" applyAlignment="1">
      <alignment horizontal="right" vertical="center"/>
    </xf>
    <xf numFmtId="197" fontId="1" fillId="0" borderId="26" xfId="0" applyNumberFormat="1" applyFont="1" applyBorder="1" applyAlignment="1">
      <alignment horizontal="right" vertical="center"/>
    </xf>
    <xf numFmtId="197" fontId="1" fillId="0" borderId="11" xfId="0" applyNumberFormat="1" applyFont="1" applyBorder="1" applyAlignment="1">
      <alignment horizontal="right" vertical="center"/>
    </xf>
    <xf numFmtId="197" fontId="1" fillId="0" borderId="16" xfId="0" applyNumberFormat="1" applyFont="1" applyBorder="1" applyAlignment="1">
      <alignment horizontal="right" vertical="center"/>
    </xf>
    <xf numFmtId="197" fontId="1" fillId="0" borderId="27" xfId="0" applyNumberFormat="1" applyFont="1" applyBorder="1" applyAlignment="1">
      <alignment horizontal="right" vertical="center"/>
    </xf>
    <xf numFmtId="197" fontId="1" fillId="0" borderId="17" xfId="0" applyNumberFormat="1" applyFont="1" applyBorder="1" applyAlignment="1">
      <alignment horizontal="right" vertical="center"/>
    </xf>
    <xf numFmtId="197" fontId="1" fillId="0" borderId="12" xfId="0" applyNumberFormat="1" applyFont="1" applyBorder="1" applyAlignment="1">
      <alignment horizontal="right" vertical="center"/>
    </xf>
    <xf numFmtId="197" fontId="1" fillId="0" borderId="28" xfId="0" applyNumberFormat="1" applyFont="1" applyBorder="1" applyAlignment="1">
      <alignment horizontal="right" vertical="center"/>
    </xf>
    <xf numFmtId="197" fontId="1" fillId="0" borderId="13" xfId="0" applyNumberFormat="1" applyFont="1" applyBorder="1" applyAlignment="1">
      <alignment horizontal="right" vertical="center"/>
    </xf>
    <xf numFmtId="195" fontId="1" fillId="0" borderId="28" xfId="0" applyNumberFormat="1" applyFont="1" applyBorder="1" applyAlignment="1">
      <alignment horizontal="left" vertical="center"/>
    </xf>
    <xf numFmtId="196" fontId="1" fillId="0" borderId="12" xfId="0" applyNumberFormat="1" applyFont="1" applyBorder="1" applyAlignment="1">
      <alignment horizontal="right" vertical="center"/>
    </xf>
    <xf numFmtId="196" fontId="1" fillId="0" borderId="29" xfId="0" applyNumberFormat="1" applyFont="1" applyBorder="1" applyAlignment="1">
      <alignment horizontal="right" vertical="center"/>
    </xf>
    <xf numFmtId="196" fontId="1" fillId="0" borderId="13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74" fontId="1" fillId="0" borderId="10" xfId="0" applyNumberFormat="1" applyFont="1" applyBorder="1" applyAlignment="1">
      <alignment horizontal="right" vertical="center"/>
    </xf>
    <xf numFmtId="174" fontId="1" fillId="0" borderId="0" xfId="0" applyNumberFormat="1" applyFont="1" applyBorder="1" applyAlignment="1">
      <alignment horizontal="right" vertical="center"/>
    </xf>
    <xf numFmtId="174" fontId="1" fillId="0" borderId="11" xfId="0" applyNumberFormat="1" applyFont="1" applyBorder="1" applyAlignment="1">
      <alignment horizontal="right" vertical="center"/>
    </xf>
    <xf numFmtId="174" fontId="1" fillId="0" borderId="14" xfId="0" applyNumberFormat="1" applyFont="1" applyBorder="1" applyAlignment="1">
      <alignment horizontal="right" vertical="center"/>
    </xf>
    <xf numFmtId="174" fontId="1" fillId="0" borderId="15" xfId="0" applyNumberFormat="1" applyFont="1" applyBorder="1" applyAlignment="1">
      <alignment horizontal="right" vertical="center"/>
    </xf>
    <xf numFmtId="174" fontId="1" fillId="0" borderId="14" xfId="0" applyNumberFormat="1" applyFont="1" applyFill="1" applyBorder="1" applyAlignment="1">
      <alignment horizontal="right" vertical="center"/>
    </xf>
    <xf numFmtId="174" fontId="1" fillId="0" borderId="0" xfId="0" applyNumberFormat="1" applyFont="1" applyFill="1" applyBorder="1" applyAlignment="1">
      <alignment horizontal="right" vertical="center"/>
    </xf>
    <xf numFmtId="174" fontId="1" fillId="0" borderId="15" xfId="0" applyNumberFormat="1" applyFont="1" applyFill="1" applyBorder="1" applyAlignment="1">
      <alignment horizontal="right" vertical="center"/>
    </xf>
    <xf numFmtId="174" fontId="1" fillId="0" borderId="16" xfId="0" applyNumberFormat="1" applyFont="1" applyBorder="1" applyAlignment="1">
      <alignment horizontal="right" vertical="center"/>
    </xf>
    <xf numFmtId="174" fontId="1" fillId="0" borderId="17" xfId="0" applyNumberFormat="1" applyFont="1" applyBorder="1" applyAlignment="1">
      <alignment horizontal="right" vertical="center"/>
    </xf>
    <xf numFmtId="181" fontId="1" fillId="0" borderId="16" xfId="0" applyNumberFormat="1" applyFont="1" applyBorder="1" applyAlignment="1">
      <alignment horizontal="center" vertical="center"/>
    </xf>
    <xf numFmtId="181" fontId="1" fillId="0" borderId="17" xfId="0" applyNumberFormat="1" applyFont="1" applyBorder="1" applyAlignment="1">
      <alignment horizontal="center" vertical="center"/>
    </xf>
    <xf numFmtId="179" fontId="1" fillId="0" borderId="16" xfId="0" applyNumberFormat="1" applyFont="1" applyBorder="1" applyAlignment="1">
      <alignment horizontal="center" vertical="center"/>
    </xf>
    <xf numFmtId="179" fontId="1" fillId="0" borderId="23" xfId="0" applyNumberFormat="1" applyFont="1" applyBorder="1" applyAlignment="1">
      <alignment horizontal="center" vertical="center"/>
    </xf>
    <xf numFmtId="179" fontId="1" fillId="0" borderId="17" xfId="0" applyNumberFormat="1" applyFont="1" applyBorder="1" applyAlignment="1">
      <alignment horizontal="center" vertical="center"/>
    </xf>
    <xf numFmtId="174" fontId="1" fillId="0" borderId="12" xfId="0" applyNumberFormat="1" applyFont="1" applyBorder="1" applyAlignment="1">
      <alignment horizontal="right" vertical="center"/>
    </xf>
    <xf numFmtId="174" fontId="1" fillId="0" borderId="29" xfId="0" applyNumberFormat="1" applyFont="1" applyBorder="1" applyAlignment="1">
      <alignment horizontal="right" vertical="center"/>
    </xf>
    <xf numFmtId="174" fontId="1" fillId="0" borderId="13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1" fillId="0" borderId="10" xfId="71" applyFont="1" applyBorder="1" applyAlignment="1">
      <alignment horizontal="center" vertical="center"/>
      <protection/>
    </xf>
    <xf numFmtId="0" fontId="1" fillId="0" borderId="14" xfId="71" applyFont="1" applyBorder="1" applyAlignment="1">
      <alignment horizontal="center" vertical="center"/>
      <protection/>
    </xf>
    <xf numFmtId="0" fontId="1" fillId="0" borderId="16" xfId="71" applyFont="1" applyBorder="1" applyAlignment="1">
      <alignment horizontal="center" vertical="center"/>
      <protection/>
    </xf>
    <xf numFmtId="0" fontId="1" fillId="0" borderId="26" xfId="71" applyFont="1" applyBorder="1" applyAlignment="1">
      <alignment horizontal="center" vertical="center"/>
      <protection/>
    </xf>
    <xf numFmtId="0" fontId="19" fillId="0" borderId="25" xfId="71" applyFont="1" applyBorder="1" applyAlignment="1">
      <alignment horizontal="center" vertical="center"/>
      <protection/>
    </xf>
    <xf numFmtId="0" fontId="19" fillId="0" borderId="27" xfId="71" applyFont="1" applyBorder="1" applyAlignment="1">
      <alignment horizontal="center" vertical="center"/>
      <protection/>
    </xf>
    <xf numFmtId="0" fontId="1" fillId="0" borderId="11" xfId="71" applyFont="1" applyBorder="1" applyAlignment="1">
      <alignment horizontal="center" vertical="center"/>
      <protection/>
    </xf>
    <xf numFmtId="0" fontId="1" fillId="0" borderId="17" xfId="71" applyFont="1" applyBorder="1" applyAlignment="1">
      <alignment horizontal="center" vertical="center"/>
      <protection/>
    </xf>
    <xf numFmtId="0" fontId="1" fillId="0" borderId="25" xfId="71" applyFont="1" applyBorder="1" applyAlignment="1">
      <alignment horizontal="center" vertical="center"/>
      <protection/>
    </xf>
    <xf numFmtId="0" fontId="1" fillId="0" borderId="27" xfId="71" applyFont="1" applyBorder="1" applyAlignment="1">
      <alignment horizontal="center" vertical="center"/>
      <protection/>
    </xf>
    <xf numFmtId="0" fontId="1" fillId="0" borderId="26" xfId="72" applyFont="1" applyBorder="1" applyAlignment="1">
      <alignment horizontal="center" vertical="center"/>
      <protection/>
    </xf>
    <xf numFmtId="0" fontId="1" fillId="0" borderId="25" xfId="72" applyFont="1" applyBorder="1" applyAlignment="1">
      <alignment horizontal="center" vertical="center"/>
      <protection/>
    </xf>
    <xf numFmtId="0" fontId="1" fillId="0" borderId="27" xfId="72" applyFont="1" applyBorder="1" applyAlignment="1">
      <alignment horizontal="center" vertical="center"/>
      <protection/>
    </xf>
    <xf numFmtId="0" fontId="12" fillId="0" borderId="10" xfId="72" applyFont="1" applyBorder="1" applyAlignment="1">
      <alignment horizontal="center" vertical="center" wrapText="1"/>
      <protection/>
    </xf>
    <xf numFmtId="0" fontId="12" fillId="0" borderId="18" xfId="72" applyFont="1" applyBorder="1" applyAlignment="1">
      <alignment horizontal="center" vertical="center" wrapText="1"/>
      <protection/>
    </xf>
    <xf numFmtId="0" fontId="12" fillId="0" borderId="11" xfId="72" applyFont="1" applyBorder="1" applyAlignment="1">
      <alignment horizontal="center" vertical="center" wrapText="1"/>
      <protection/>
    </xf>
    <xf numFmtId="0" fontId="12" fillId="0" borderId="16" xfId="72" applyFont="1" applyBorder="1" applyAlignment="1">
      <alignment horizontal="center" vertical="center" wrapText="1"/>
      <protection/>
    </xf>
    <xf numFmtId="0" fontId="12" fillId="0" borderId="23" xfId="72" applyFont="1" applyBorder="1" applyAlignment="1">
      <alignment horizontal="center" vertical="center" wrapText="1"/>
      <protection/>
    </xf>
    <xf numFmtId="0" fontId="12" fillId="0" borderId="17" xfId="72" applyFont="1" applyBorder="1" applyAlignment="1">
      <alignment horizontal="center" vertical="center" wrapText="1"/>
      <protection/>
    </xf>
    <xf numFmtId="0" fontId="1" fillId="0" borderId="10" xfId="72" applyFont="1" applyBorder="1" applyAlignment="1">
      <alignment horizontal="center" vertical="center" wrapText="1"/>
      <protection/>
    </xf>
    <xf numFmtId="0" fontId="1" fillId="0" borderId="18" xfId="72" applyFont="1" applyBorder="1" applyAlignment="1">
      <alignment horizontal="center" vertical="center" wrapText="1"/>
      <protection/>
    </xf>
    <xf numFmtId="0" fontId="1" fillId="0" borderId="16" xfId="72" applyFont="1" applyBorder="1" applyAlignment="1">
      <alignment horizontal="center" vertical="center" wrapText="1"/>
      <protection/>
    </xf>
    <xf numFmtId="0" fontId="1" fillId="0" borderId="23" xfId="72" applyFont="1" applyBorder="1" applyAlignment="1">
      <alignment horizontal="center" vertical="center" wrapText="1"/>
      <protection/>
    </xf>
    <xf numFmtId="0" fontId="12" fillId="0" borderId="12" xfId="72" applyFont="1" applyBorder="1" applyAlignment="1">
      <alignment horizontal="center" vertical="center" wrapText="1"/>
      <protection/>
    </xf>
    <xf numFmtId="0" fontId="12" fillId="0" borderId="29" xfId="72" applyFont="1" applyBorder="1" applyAlignment="1">
      <alignment horizontal="center" vertical="center" wrapText="1"/>
      <protection/>
    </xf>
    <xf numFmtId="0" fontId="12" fillId="0" borderId="13" xfId="72" applyFont="1" applyBorder="1" applyAlignment="1">
      <alignment horizontal="center" vertical="center" wrapText="1"/>
      <protection/>
    </xf>
    <xf numFmtId="0" fontId="1" fillId="0" borderId="12" xfId="72" applyFont="1" applyBorder="1" applyAlignment="1">
      <alignment horizontal="center" vertical="center" wrapText="1"/>
      <protection/>
    </xf>
    <xf numFmtId="0" fontId="1" fillId="0" borderId="29" xfId="72" applyFont="1" applyBorder="1" applyAlignment="1">
      <alignment horizontal="center" vertical="center" wrapText="1"/>
      <protection/>
    </xf>
    <xf numFmtId="0" fontId="1" fillId="0" borderId="13" xfId="72" applyFont="1" applyBorder="1" applyAlignment="1">
      <alignment horizontal="center" vertical="center" wrapText="1"/>
      <protection/>
    </xf>
    <xf numFmtId="0" fontId="1" fillId="0" borderId="10" xfId="72" applyFont="1" applyBorder="1" applyAlignment="1">
      <alignment horizontal="center" vertical="center"/>
      <protection/>
    </xf>
    <xf numFmtId="0" fontId="1" fillId="0" borderId="14" xfId="72" applyFont="1" applyBorder="1" applyAlignment="1">
      <alignment horizontal="center" vertical="center"/>
      <protection/>
    </xf>
    <xf numFmtId="0" fontId="1" fillId="0" borderId="16" xfId="72" applyFont="1" applyBorder="1" applyAlignment="1">
      <alignment horizontal="center" vertical="center"/>
      <protection/>
    </xf>
    <xf numFmtId="0" fontId="1" fillId="0" borderId="11" xfId="72" applyFont="1" applyBorder="1" applyAlignment="1">
      <alignment horizontal="center" vertical="center" wrapText="1"/>
      <protection/>
    </xf>
    <xf numFmtId="0" fontId="1" fillId="0" borderId="17" xfId="72" applyFont="1" applyBorder="1" applyAlignment="1">
      <alignment horizontal="center" vertical="center" wrapText="1"/>
      <protection/>
    </xf>
    <xf numFmtId="0" fontId="1" fillId="0" borderId="26" xfId="74" applyFont="1" applyBorder="1" applyAlignment="1">
      <alignment horizontal="center" vertical="center" wrapText="1"/>
      <protection/>
    </xf>
    <xf numFmtId="0" fontId="1" fillId="0" borderId="27" xfId="74" applyFont="1" applyBorder="1" applyAlignment="1">
      <alignment horizontal="center" vertical="center" wrapText="1"/>
      <protection/>
    </xf>
    <xf numFmtId="0" fontId="1" fillId="0" borderId="11" xfId="74" applyFont="1" applyBorder="1" applyAlignment="1">
      <alignment horizontal="center" vertical="center" wrapText="1"/>
      <protection/>
    </xf>
    <xf numFmtId="0" fontId="1" fillId="0" borderId="17" xfId="74" applyFont="1" applyBorder="1" applyAlignment="1">
      <alignment horizontal="center" vertical="center" wrapText="1"/>
      <protection/>
    </xf>
    <xf numFmtId="0" fontId="1" fillId="0" borderId="12" xfId="75" applyFont="1" applyBorder="1" applyAlignment="1">
      <alignment horizontal="center"/>
      <protection/>
    </xf>
    <xf numFmtId="0" fontId="1" fillId="0" borderId="29" xfId="75" applyFont="1" applyBorder="1" applyAlignment="1">
      <alignment horizontal="center"/>
      <protection/>
    </xf>
    <xf numFmtId="0" fontId="1" fillId="0" borderId="13" xfId="75" applyFont="1" applyBorder="1" applyAlignment="1">
      <alignment horizontal="center"/>
      <protection/>
    </xf>
    <xf numFmtId="0" fontId="1" fillId="0" borderId="10" xfId="75" applyFont="1" applyBorder="1" applyAlignment="1">
      <alignment horizontal="center" vertical="center"/>
      <protection/>
    </xf>
    <xf numFmtId="0" fontId="1" fillId="0" borderId="18" xfId="75" applyFont="1" applyBorder="1" applyAlignment="1">
      <alignment horizontal="center" vertical="center"/>
      <protection/>
    </xf>
    <xf numFmtId="0" fontId="1" fillId="0" borderId="11" xfId="75" applyFont="1" applyBorder="1" applyAlignment="1">
      <alignment horizontal="center" vertical="center"/>
      <protection/>
    </xf>
    <xf numFmtId="0" fontId="1" fillId="0" borderId="16" xfId="75" applyFont="1" applyBorder="1" applyAlignment="1">
      <alignment horizontal="center" vertical="center"/>
      <protection/>
    </xf>
    <xf numFmtId="0" fontId="1" fillId="0" borderId="23" xfId="75" applyFont="1" applyBorder="1" applyAlignment="1">
      <alignment horizontal="center" vertical="center"/>
      <protection/>
    </xf>
    <xf numFmtId="0" fontId="1" fillId="0" borderId="17" xfId="75" applyFont="1" applyBorder="1" applyAlignment="1">
      <alignment horizontal="center" vertical="center"/>
      <protection/>
    </xf>
    <xf numFmtId="0" fontId="1" fillId="0" borderId="10" xfId="76" applyFont="1" applyBorder="1" applyAlignment="1">
      <alignment horizontal="center" vertical="center" wrapText="1"/>
      <protection/>
    </xf>
    <xf numFmtId="0" fontId="1" fillId="0" borderId="18" xfId="76" applyFont="1" applyBorder="1" applyAlignment="1">
      <alignment horizontal="center" vertical="center" wrapText="1"/>
      <protection/>
    </xf>
    <xf numFmtId="0" fontId="1" fillId="0" borderId="11" xfId="76" applyFont="1" applyBorder="1" applyAlignment="1">
      <alignment horizontal="center" vertical="center" wrapText="1"/>
      <protection/>
    </xf>
    <xf numFmtId="0" fontId="1" fillId="0" borderId="16" xfId="76" applyFont="1" applyBorder="1" applyAlignment="1">
      <alignment horizontal="center" vertical="center" wrapText="1"/>
      <protection/>
    </xf>
    <xf numFmtId="0" fontId="1" fillId="0" borderId="23" xfId="76" applyFont="1" applyBorder="1" applyAlignment="1">
      <alignment horizontal="center" vertical="center" wrapText="1"/>
      <protection/>
    </xf>
    <xf numFmtId="0" fontId="1" fillId="0" borderId="17" xfId="76" applyFont="1" applyBorder="1" applyAlignment="1">
      <alignment horizontal="center" vertical="center" wrapText="1"/>
      <protection/>
    </xf>
    <xf numFmtId="0" fontId="1" fillId="0" borderId="12" xfId="76" applyFont="1" applyBorder="1" applyAlignment="1">
      <alignment horizontal="center"/>
      <protection/>
    </xf>
    <xf numFmtId="0" fontId="1" fillId="0" borderId="29" xfId="76" applyFont="1" applyBorder="1" applyAlignment="1">
      <alignment horizontal="center"/>
      <protection/>
    </xf>
    <xf numFmtId="0" fontId="1" fillId="0" borderId="13" xfId="76" applyFont="1" applyBorder="1" applyAlignment="1">
      <alignment horizontal="center"/>
      <protection/>
    </xf>
    <xf numFmtId="0" fontId="12" fillId="0" borderId="95" xfId="65" applyFont="1" applyBorder="1" applyAlignment="1">
      <alignment horizontal="center" vertical="center"/>
      <protection/>
    </xf>
    <xf numFmtId="0" fontId="16" fillId="0" borderId="41" xfId="65" applyBorder="1" applyAlignment="1">
      <alignment horizontal="center" vertical="center"/>
      <protection/>
    </xf>
    <xf numFmtId="0" fontId="16" fillId="0" borderId="42" xfId="65" applyBorder="1" applyAlignment="1">
      <alignment horizontal="center" vertical="center"/>
      <protection/>
    </xf>
    <xf numFmtId="0" fontId="16" fillId="0" borderId="44" xfId="65" applyBorder="1" applyAlignment="1">
      <alignment horizontal="center" vertical="center"/>
      <protection/>
    </xf>
    <xf numFmtId="0" fontId="16" fillId="0" borderId="0" xfId="65" applyBorder="1" applyAlignment="1">
      <alignment horizontal="center" vertical="center"/>
      <protection/>
    </xf>
    <xf numFmtId="0" fontId="16" fillId="0" borderId="45" xfId="65" applyBorder="1" applyAlignment="1">
      <alignment horizontal="center" vertical="center"/>
      <protection/>
    </xf>
    <xf numFmtId="0" fontId="1" fillId="0" borderId="96" xfId="65" applyFont="1" applyBorder="1" applyAlignment="1">
      <alignment horizontal="center"/>
      <protection/>
    </xf>
    <xf numFmtId="0" fontId="1" fillId="0" borderId="97" xfId="65" applyFont="1" applyBorder="1" applyAlignment="1">
      <alignment horizontal="center"/>
      <protection/>
    </xf>
    <xf numFmtId="0" fontId="1" fillId="0" borderId="98" xfId="65" applyFont="1" applyBorder="1" applyAlignment="1">
      <alignment horizontal="center"/>
      <protection/>
    </xf>
    <xf numFmtId="0" fontId="12" fillId="0" borderId="0" xfId="0" applyFont="1" applyAlignment="1">
      <alignment horizontal="left" wrapText="1"/>
    </xf>
    <xf numFmtId="0" fontId="1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2" fillId="0" borderId="0" xfId="0" applyFont="1" applyFill="1" applyAlignment="1">
      <alignment horizontal="left" wrapText="1"/>
    </xf>
    <xf numFmtId="0" fontId="1" fillId="0" borderId="26" xfId="66" applyFont="1" applyBorder="1" applyAlignment="1">
      <alignment horizontal="center" vertical="center" wrapText="1"/>
      <protection/>
    </xf>
    <xf numFmtId="0" fontId="1" fillId="0" borderId="27" xfId="66" applyFont="1" applyBorder="1" applyAlignment="1">
      <alignment horizontal="center" vertical="center" wrapText="1"/>
      <protection/>
    </xf>
    <xf numFmtId="0" fontId="3" fillId="0" borderId="12" xfId="67" applyFont="1" applyBorder="1" applyAlignment="1">
      <alignment horizontal="center" vertical="center"/>
      <protection/>
    </xf>
    <xf numFmtId="0" fontId="3" fillId="0" borderId="29" xfId="67" applyFont="1" applyBorder="1" applyAlignment="1">
      <alignment horizontal="center" vertical="center"/>
      <protection/>
    </xf>
    <xf numFmtId="0" fontId="3" fillId="0" borderId="13" xfId="67" applyFont="1" applyBorder="1" applyAlignment="1">
      <alignment horizontal="center" vertical="center"/>
      <protection/>
    </xf>
    <xf numFmtId="0" fontId="1" fillId="0" borderId="10" xfId="67" applyFont="1" applyBorder="1" applyAlignment="1">
      <alignment horizontal="center" vertical="center" wrapText="1"/>
      <protection/>
    </xf>
    <xf numFmtId="0" fontId="1" fillId="0" borderId="18" xfId="67" applyFont="1" applyBorder="1" applyAlignment="1">
      <alignment horizontal="center" vertical="center" wrapText="1"/>
      <protection/>
    </xf>
    <xf numFmtId="0" fontId="1" fillId="0" borderId="11" xfId="67" applyFont="1" applyBorder="1" applyAlignment="1">
      <alignment horizontal="center" vertical="center" wrapText="1"/>
      <protection/>
    </xf>
    <xf numFmtId="0" fontId="1" fillId="0" borderId="16" xfId="67" applyFont="1" applyBorder="1" applyAlignment="1">
      <alignment horizontal="center" vertical="center" wrapText="1"/>
      <protection/>
    </xf>
    <xf numFmtId="0" fontId="1" fillId="0" borderId="23" xfId="67" applyFont="1" applyBorder="1" applyAlignment="1">
      <alignment horizontal="center" vertical="center" wrapText="1"/>
      <protection/>
    </xf>
    <xf numFmtId="0" fontId="1" fillId="0" borderId="17" xfId="67" applyFont="1" applyBorder="1" applyAlignment="1">
      <alignment horizontal="center" vertical="center" wrapText="1"/>
      <protection/>
    </xf>
    <xf numFmtId="0" fontId="1" fillId="0" borderId="12" xfId="67" applyFont="1" applyBorder="1" applyAlignment="1">
      <alignment horizontal="center" vertical="center"/>
      <protection/>
    </xf>
    <xf numFmtId="0" fontId="1" fillId="0" borderId="29" xfId="67" applyFont="1" applyBorder="1" applyAlignment="1">
      <alignment horizontal="center" vertical="center"/>
      <protection/>
    </xf>
    <xf numFmtId="0" fontId="1" fillId="0" borderId="13" xfId="67" applyFont="1" applyBorder="1" applyAlignment="1">
      <alignment horizontal="center" vertical="center"/>
      <protection/>
    </xf>
    <xf numFmtId="0" fontId="3" fillId="0" borderId="0" xfId="68" applyFont="1" applyAlignment="1">
      <alignment horizontal="left"/>
      <protection/>
    </xf>
    <xf numFmtId="0" fontId="1" fillId="0" borderId="10" xfId="68" applyFont="1" applyBorder="1" applyAlignment="1">
      <alignment horizontal="center" vertical="center" wrapText="1"/>
      <protection/>
    </xf>
    <xf numFmtId="0" fontId="1" fillId="0" borderId="18" xfId="68" applyFont="1" applyBorder="1" applyAlignment="1">
      <alignment horizontal="center" vertical="center" wrapText="1"/>
      <protection/>
    </xf>
    <xf numFmtId="0" fontId="1" fillId="0" borderId="11" xfId="68" applyFont="1" applyBorder="1" applyAlignment="1">
      <alignment horizontal="center" vertical="center" wrapText="1"/>
      <protection/>
    </xf>
    <xf numFmtId="0" fontId="1" fillId="0" borderId="16" xfId="68" applyFont="1" applyBorder="1" applyAlignment="1">
      <alignment horizontal="center" vertical="center" wrapText="1"/>
      <protection/>
    </xf>
    <xf numFmtId="0" fontId="1" fillId="0" borderId="23" xfId="68" applyFont="1" applyBorder="1" applyAlignment="1">
      <alignment horizontal="center" vertical="center" wrapText="1"/>
      <protection/>
    </xf>
    <xf numFmtId="0" fontId="1" fillId="0" borderId="17" xfId="68" applyFont="1" applyBorder="1" applyAlignment="1">
      <alignment horizontal="center" vertical="center" wrapText="1"/>
      <protection/>
    </xf>
    <xf numFmtId="0" fontId="3" fillId="0" borderId="12" xfId="68" applyFont="1" applyBorder="1" applyAlignment="1">
      <alignment horizontal="center" vertical="center"/>
      <protection/>
    </xf>
    <xf numFmtId="0" fontId="3" fillId="0" borderId="29" xfId="68" applyFont="1" applyBorder="1" applyAlignment="1">
      <alignment horizontal="center" vertical="center"/>
      <protection/>
    </xf>
    <xf numFmtId="0" fontId="3" fillId="0" borderId="13" xfId="68" applyFont="1" applyBorder="1" applyAlignment="1">
      <alignment horizontal="center" vertical="center"/>
      <protection/>
    </xf>
    <xf numFmtId="0" fontId="1" fillId="0" borderId="12" xfId="68" applyFont="1" applyBorder="1" applyAlignment="1">
      <alignment horizontal="center" vertical="center"/>
      <protection/>
    </xf>
    <xf numFmtId="0" fontId="1" fillId="0" borderId="29" xfId="68" applyFont="1" applyBorder="1" applyAlignment="1">
      <alignment horizontal="center" vertical="center"/>
      <protection/>
    </xf>
    <xf numFmtId="0" fontId="1" fillId="0" borderId="13" xfId="68" applyFont="1" applyBorder="1" applyAlignment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1" fillId="0" borderId="12" xfId="62" applyFont="1" applyBorder="1" applyAlignment="1">
      <alignment horizontal="center"/>
      <protection/>
    </xf>
    <xf numFmtId="0" fontId="1" fillId="0" borderId="13" xfId="62" applyFont="1" applyBorder="1" applyAlignment="1">
      <alignment horizontal="center"/>
      <protection/>
    </xf>
    <xf numFmtId="0" fontId="1" fillId="0" borderId="10" xfId="62" applyFont="1" applyBorder="1" applyAlignment="1">
      <alignment horizontal="center" vertical="center" wrapText="1"/>
      <protection/>
    </xf>
    <xf numFmtId="0" fontId="1" fillId="0" borderId="11" xfId="62" applyFont="1" applyBorder="1" applyAlignment="1">
      <alignment horizontal="center" vertical="center" wrapText="1"/>
      <protection/>
    </xf>
    <xf numFmtId="0" fontId="1" fillId="0" borderId="16" xfId="62" applyFont="1" applyBorder="1" applyAlignment="1">
      <alignment horizontal="center" vertical="center" wrapText="1"/>
      <protection/>
    </xf>
    <xf numFmtId="0" fontId="1" fillId="0" borderId="17" xfId="62" applyFont="1" applyBorder="1" applyAlignment="1">
      <alignment horizontal="center" vertical="center" wrapText="1"/>
      <protection/>
    </xf>
    <xf numFmtId="0" fontId="1" fillId="0" borderId="12" xfId="62" applyFont="1" applyBorder="1" applyAlignment="1">
      <alignment horizontal="center"/>
      <protection/>
    </xf>
    <xf numFmtId="0" fontId="1" fillId="0" borderId="29" xfId="62" applyFont="1" applyBorder="1" applyAlignment="1">
      <alignment horizontal="center"/>
      <protection/>
    </xf>
    <xf numFmtId="0" fontId="1" fillId="0" borderId="13" xfId="62" applyFont="1" applyBorder="1" applyAlignment="1">
      <alignment horizontal="center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/>
      <protection/>
    </xf>
    <xf numFmtId="0" fontId="1" fillId="0" borderId="29" xfId="63" applyFont="1" applyBorder="1" applyAlignment="1">
      <alignment horizontal="center"/>
      <protection/>
    </xf>
    <xf numFmtId="0" fontId="1" fillId="0" borderId="13" xfId="63" applyFont="1" applyBorder="1" applyAlignment="1">
      <alignment horizontal="center"/>
      <protection/>
    </xf>
    <xf numFmtId="0" fontId="1" fillId="0" borderId="12" xfId="69" applyFont="1" applyBorder="1" applyAlignment="1">
      <alignment horizontal="center" vertical="center"/>
      <protection/>
    </xf>
    <xf numFmtId="0" fontId="1" fillId="0" borderId="29" xfId="69" applyFont="1" applyBorder="1" applyAlignment="1">
      <alignment horizontal="center" vertical="center"/>
      <protection/>
    </xf>
    <xf numFmtId="0" fontId="1" fillId="0" borderId="13" xfId="69" applyFont="1" applyBorder="1" applyAlignment="1">
      <alignment horizontal="center" vertical="center"/>
      <protection/>
    </xf>
    <xf numFmtId="0" fontId="1" fillId="0" borderId="10" xfId="69" applyFont="1" applyBorder="1" applyAlignment="1">
      <alignment horizontal="center" vertical="center"/>
      <protection/>
    </xf>
    <xf numFmtId="0" fontId="1" fillId="0" borderId="18" xfId="69" applyFont="1" applyBorder="1" applyAlignment="1">
      <alignment horizontal="center" vertical="center"/>
      <protection/>
    </xf>
    <xf numFmtId="0" fontId="1" fillId="0" borderId="11" xfId="69" applyFont="1" applyBorder="1" applyAlignment="1">
      <alignment horizontal="center" vertical="center"/>
      <protection/>
    </xf>
    <xf numFmtId="0" fontId="1" fillId="0" borderId="16" xfId="69" applyFont="1" applyBorder="1" applyAlignment="1">
      <alignment horizontal="center" vertical="center"/>
      <protection/>
    </xf>
    <xf numFmtId="0" fontId="1" fillId="0" borderId="23" xfId="69" applyFont="1" applyBorder="1" applyAlignment="1">
      <alignment horizontal="center" vertical="center"/>
      <protection/>
    </xf>
    <xf numFmtId="0" fontId="1" fillId="0" borderId="17" xfId="69" applyFont="1" applyBorder="1" applyAlignment="1">
      <alignment horizontal="center" vertical="center"/>
      <protection/>
    </xf>
    <xf numFmtId="0" fontId="4" fillId="0" borderId="99" xfId="64" applyFont="1" applyBorder="1" applyAlignment="1">
      <alignment horizontal="center" vertical="center"/>
      <protection/>
    </xf>
    <xf numFmtId="0" fontId="4" fillId="0" borderId="29" xfId="64" applyFont="1" applyBorder="1" applyAlignment="1">
      <alignment horizontal="center" vertical="center"/>
      <protection/>
    </xf>
    <xf numFmtId="0" fontId="4" fillId="0" borderId="43" xfId="64" applyFont="1" applyBorder="1" applyAlignment="1">
      <alignment horizontal="center" vertical="center"/>
      <protection/>
    </xf>
    <xf numFmtId="0" fontId="1" fillId="0" borderId="96" xfId="64" applyFont="1" applyBorder="1" applyAlignment="1">
      <alignment horizontal="center" vertical="center"/>
      <protection/>
    </xf>
    <xf numFmtId="0" fontId="1" fillId="0" borderId="97" xfId="64" applyFont="1" applyBorder="1" applyAlignment="1">
      <alignment horizontal="center" vertical="center"/>
      <protection/>
    </xf>
    <xf numFmtId="0" fontId="1" fillId="0" borderId="98" xfId="64" applyFont="1" applyBorder="1" applyAlignment="1">
      <alignment horizontal="center" vertical="center"/>
      <protection/>
    </xf>
    <xf numFmtId="0" fontId="13" fillId="0" borderId="95" xfId="64" applyFont="1" applyBorder="1" applyAlignment="1">
      <alignment horizontal="center" vertical="center" wrapText="1"/>
      <protection/>
    </xf>
    <xf numFmtId="0" fontId="13" fillId="0" borderId="41" xfId="64" applyFont="1" applyBorder="1" applyAlignment="1">
      <alignment horizontal="center" vertical="center" wrapText="1"/>
      <protection/>
    </xf>
    <xf numFmtId="0" fontId="13" fillId="0" borderId="42" xfId="64" applyFont="1" applyBorder="1" applyAlignment="1">
      <alignment horizontal="center" vertical="center" wrapText="1"/>
      <protection/>
    </xf>
    <xf numFmtId="0" fontId="13" fillId="0" borderId="47" xfId="64" applyFont="1" applyBorder="1" applyAlignment="1">
      <alignment horizontal="center" vertical="center" wrapText="1"/>
      <protection/>
    </xf>
    <xf numFmtId="0" fontId="13" fillId="0" borderId="23" xfId="64" applyFont="1" applyBorder="1" applyAlignment="1">
      <alignment horizontal="center" vertical="center" wrapText="1"/>
      <protection/>
    </xf>
    <xf numFmtId="0" fontId="13" fillId="0" borderId="48" xfId="64" applyFont="1" applyBorder="1" applyAlignment="1">
      <alignment horizontal="center" vertical="center" wrapText="1"/>
      <protection/>
    </xf>
    <xf numFmtId="0" fontId="12" fillId="0" borderId="96" xfId="64" applyFont="1" applyBorder="1" applyAlignment="1">
      <alignment horizontal="center" vertical="center"/>
      <protection/>
    </xf>
    <xf numFmtId="0" fontId="12" fillId="0" borderId="97" xfId="64" applyFont="1" applyBorder="1" applyAlignment="1">
      <alignment horizontal="center" vertical="center"/>
      <protection/>
    </xf>
    <xf numFmtId="0" fontId="12" fillId="0" borderId="98" xfId="64" applyFont="1" applyBorder="1" applyAlignment="1">
      <alignment horizontal="center" vertical="center"/>
      <protection/>
    </xf>
    <xf numFmtId="0" fontId="4" fillId="0" borderId="44" xfId="64" applyFont="1" applyBorder="1" applyAlignment="1">
      <alignment horizontal="left" vertical="center" wrapText="1"/>
      <protection/>
    </xf>
    <xf numFmtId="0" fontId="4" fillId="0" borderId="0" xfId="64" applyFont="1" applyBorder="1" applyAlignment="1">
      <alignment horizontal="left" vertical="center" wrapText="1"/>
      <protection/>
    </xf>
    <xf numFmtId="0" fontId="4" fillId="0" borderId="99" xfId="64" applyFont="1" applyBorder="1" applyAlignment="1">
      <alignment horizontal="center" vertical="center" wrapText="1"/>
      <protection/>
    </xf>
    <xf numFmtId="0" fontId="4" fillId="0" borderId="29" xfId="64" applyFont="1" applyBorder="1" applyAlignment="1">
      <alignment horizontal="center" vertical="center" wrapText="1"/>
      <protection/>
    </xf>
    <xf numFmtId="0" fontId="4" fillId="0" borderId="43" xfId="64" applyFont="1" applyBorder="1" applyAlignment="1">
      <alignment horizontal="center" vertical="center" wrapText="1"/>
      <protection/>
    </xf>
    <xf numFmtId="0" fontId="1" fillId="0" borderId="100" xfId="64" applyFont="1" applyBorder="1" applyAlignment="1">
      <alignment horizontal="center" vertical="center"/>
      <protection/>
    </xf>
    <xf numFmtId="0" fontId="3" fillId="0" borderId="99" xfId="64" applyFont="1" applyBorder="1" applyAlignment="1">
      <alignment horizontal="center" vertical="center"/>
      <protection/>
    </xf>
    <xf numFmtId="0" fontId="3" fillId="0" borderId="29" xfId="64" applyFont="1" applyBorder="1" applyAlignment="1">
      <alignment horizontal="center" vertical="center"/>
      <protection/>
    </xf>
    <xf numFmtId="0" fontId="3" fillId="0" borderId="43" xfId="64" applyFont="1" applyBorder="1" applyAlignment="1">
      <alignment horizontal="center" vertical="center"/>
      <protection/>
    </xf>
    <xf numFmtId="0" fontId="1" fillId="0" borderId="95" xfId="64" applyFont="1" applyBorder="1" applyAlignment="1">
      <alignment horizontal="center" vertical="center" wrapText="1"/>
      <protection/>
    </xf>
    <xf numFmtId="0" fontId="19" fillId="0" borderId="41" xfId="64" applyFont="1" applyBorder="1" applyAlignment="1">
      <alignment horizontal="center" vertical="center" wrapText="1"/>
      <protection/>
    </xf>
    <xf numFmtId="0" fontId="19" fillId="0" borderId="42" xfId="64" applyFont="1" applyBorder="1" applyAlignment="1">
      <alignment horizontal="center" vertical="center" wrapText="1"/>
      <protection/>
    </xf>
    <xf numFmtId="0" fontId="19" fillId="0" borderId="47" xfId="64" applyFont="1" applyBorder="1" applyAlignment="1">
      <alignment horizontal="center" vertical="center" wrapText="1"/>
      <protection/>
    </xf>
    <xf numFmtId="0" fontId="19" fillId="0" borderId="23" xfId="64" applyFont="1" applyBorder="1" applyAlignment="1">
      <alignment horizontal="center" vertical="center" wrapText="1"/>
      <protection/>
    </xf>
    <xf numFmtId="0" fontId="19" fillId="0" borderId="48" xfId="64" applyFont="1" applyBorder="1" applyAlignment="1">
      <alignment horizontal="center" vertical="center" wrapText="1"/>
      <protection/>
    </xf>
    <xf numFmtId="0" fontId="1" fillId="0" borderId="101" xfId="64" applyFont="1" applyBorder="1" applyAlignment="1">
      <alignment horizontal="center" vertical="center"/>
      <protection/>
    </xf>
    <xf numFmtId="0" fontId="12" fillId="0" borderId="26" xfId="73" applyFont="1" applyBorder="1" applyAlignment="1">
      <alignment horizontal="center" vertical="center"/>
      <protection/>
    </xf>
    <xf numFmtId="0" fontId="12" fillId="0" borderId="25" xfId="73" applyFont="1" applyBorder="1" applyAlignment="1">
      <alignment horizontal="center" vertical="center"/>
      <protection/>
    </xf>
    <xf numFmtId="0" fontId="12" fillId="0" borderId="27" xfId="73" applyFont="1" applyBorder="1" applyAlignment="1">
      <alignment horizontal="center" vertical="center"/>
      <protection/>
    </xf>
    <xf numFmtId="0" fontId="12" fillId="0" borderId="11" xfId="73" applyFont="1" applyBorder="1" applyAlignment="1">
      <alignment horizontal="center" wrapText="1"/>
      <protection/>
    </xf>
    <xf numFmtId="0" fontId="0" fillId="0" borderId="15" xfId="73" applyBorder="1">
      <alignment/>
      <protection/>
    </xf>
    <xf numFmtId="0" fontId="0" fillId="0" borderId="17" xfId="73" applyBorder="1">
      <alignment/>
      <protection/>
    </xf>
    <xf numFmtId="0" fontId="0" fillId="0" borderId="25" xfId="73" applyBorder="1" applyAlignment="1">
      <alignment vertical="center"/>
      <protection/>
    </xf>
    <xf numFmtId="0" fontId="0" fillId="0" borderId="27" xfId="73" applyBorder="1" applyAlignment="1">
      <alignment vertical="center"/>
      <protection/>
    </xf>
    <xf numFmtId="0" fontId="1" fillId="0" borderId="12" xfId="73" applyFont="1" applyBorder="1" applyAlignment="1">
      <alignment horizontal="center"/>
      <protection/>
    </xf>
    <xf numFmtId="0" fontId="1" fillId="0" borderId="29" xfId="73" applyFont="1" applyBorder="1" applyAlignment="1">
      <alignment horizontal="center"/>
      <protection/>
    </xf>
    <xf numFmtId="0" fontId="1" fillId="0" borderId="13" xfId="73" applyFont="1" applyBorder="1" applyAlignment="1">
      <alignment horizontal="center"/>
      <protection/>
    </xf>
    <xf numFmtId="0" fontId="12" fillId="0" borderId="11" xfId="73" applyFont="1" applyBorder="1" applyAlignment="1">
      <alignment horizontal="center" vertical="center"/>
      <protection/>
    </xf>
    <xf numFmtId="0" fontId="0" fillId="0" borderId="15" xfId="73" applyFont="1" applyBorder="1" applyAlignment="1">
      <alignment horizontal="center" vertical="center"/>
      <protection/>
    </xf>
    <xf numFmtId="0" fontId="0" fillId="0" borderId="17" xfId="73" applyFont="1" applyBorder="1" applyAlignment="1">
      <alignment horizontal="center" vertical="center"/>
      <protection/>
    </xf>
    <xf numFmtId="0" fontId="1" fillId="0" borderId="25" xfId="73" applyFont="1" applyBorder="1" applyAlignment="1">
      <alignment horizontal="center" vertical="center"/>
      <protection/>
    </xf>
    <xf numFmtId="0" fontId="1" fillId="0" borderId="27" xfId="73" applyFont="1" applyBorder="1" applyAlignment="1">
      <alignment horizontal="center" vertical="center"/>
      <protection/>
    </xf>
    <xf numFmtId="0" fontId="12" fillId="0" borderId="26" xfId="73" applyFont="1" applyBorder="1" applyAlignment="1">
      <alignment horizontal="center" wrapText="1"/>
      <protection/>
    </xf>
    <xf numFmtId="0" fontId="12" fillId="0" borderId="27" xfId="73" applyFont="1" applyBorder="1" applyAlignment="1">
      <alignment horizontal="center" wrapText="1"/>
      <protection/>
    </xf>
    <xf numFmtId="0" fontId="69" fillId="0" borderId="0" xfId="0" applyFont="1" applyAlignment="1">
      <alignment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Copy of T 4.57" xfId="44"/>
    <cellStyle name="Comma_Copy of T 4.58" xfId="45"/>
    <cellStyle name="Comma_SC &amp; HSC - Amended Tables" xfId="46"/>
    <cellStyle name="Comma_T13.2" xfId="47"/>
    <cellStyle name="Comma_T4.1-2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_Copy of T 4.57" xfId="62"/>
    <cellStyle name="Normal_Copy of T 4.58" xfId="63"/>
    <cellStyle name="Normal_SC &amp; HSC - Amended Tables" xfId="64"/>
    <cellStyle name="Normal_T 16" xfId="65"/>
    <cellStyle name="Normal_T12.1-2" xfId="66"/>
    <cellStyle name="Normal_T13.1" xfId="67"/>
    <cellStyle name="Normal_T13.2" xfId="68"/>
    <cellStyle name="Normal_T17.1-2" xfId="69"/>
    <cellStyle name="Normal_T18" xfId="70"/>
    <cellStyle name="Normal_T4.1-2" xfId="71"/>
    <cellStyle name="Normal_T5.1-2 - Prim Enrol" xfId="72"/>
    <cellStyle name="Normal_T5.15" xfId="73"/>
    <cellStyle name="Normal_T6.1-2" xfId="74"/>
    <cellStyle name="Normal_T7.1" xfId="75"/>
    <cellStyle name="Normal_T7.2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1</xdr:col>
      <xdr:colOff>0</xdr:colOff>
      <xdr:row>16</xdr:row>
      <xdr:rowOff>142875</xdr:rowOff>
    </xdr:to>
    <xdr:sp>
      <xdr:nvSpPr>
        <xdr:cNvPr id="1" name="Text 1"/>
        <xdr:cNvSpPr txBox="1">
          <a:spLocks noChangeArrowheads="1"/>
        </xdr:cNvSpPr>
      </xdr:nvSpPr>
      <xdr:spPr>
        <a:xfrm>
          <a:off x="123825" y="2962275"/>
          <a:ext cx="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17</xdr:row>
      <xdr:rowOff>9525</xdr:rowOff>
    </xdr:from>
    <xdr:to>
      <xdr:col>1</xdr:col>
      <xdr:colOff>0</xdr:colOff>
      <xdr:row>17</xdr:row>
      <xdr:rowOff>152400</xdr:rowOff>
    </xdr:to>
    <xdr:sp>
      <xdr:nvSpPr>
        <xdr:cNvPr id="2" name="Text 2"/>
        <xdr:cNvSpPr txBox="1">
          <a:spLocks noChangeArrowheads="1"/>
        </xdr:cNvSpPr>
      </xdr:nvSpPr>
      <xdr:spPr>
        <a:xfrm>
          <a:off x="123825" y="373380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2</xdr:col>
      <xdr:colOff>361950</xdr:colOff>
      <xdr:row>39</xdr:row>
      <xdr:rowOff>0</xdr:rowOff>
    </xdr:from>
    <xdr:ext cx="76200" cy="257175"/>
    <xdr:sp>
      <xdr:nvSpPr>
        <xdr:cNvPr id="3" name="Text 5"/>
        <xdr:cNvSpPr txBox="1">
          <a:spLocks noChangeArrowheads="1"/>
        </xdr:cNvSpPr>
      </xdr:nvSpPr>
      <xdr:spPr>
        <a:xfrm>
          <a:off x="3248025" y="9591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19</xdr:row>
      <xdr:rowOff>0</xdr:rowOff>
    </xdr:from>
    <xdr:to>
      <xdr:col>1</xdr:col>
      <xdr:colOff>0</xdr:colOff>
      <xdr:row>21</xdr:row>
      <xdr:rowOff>142875</xdr:rowOff>
    </xdr:to>
    <xdr:sp>
      <xdr:nvSpPr>
        <xdr:cNvPr id="4" name="Text 1"/>
        <xdr:cNvSpPr txBox="1">
          <a:spLocks noChangeArrowheads="1"/>
        </xdr:cNvSpPr>
      </xdr:nvSpPr>
      <xdr:spPr>
        <a:xfrm>
          <a:off x="123825" y="4257675"/>
          <a:ext cx="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22</xdr:row>
      <xdr:rowOff>9525</xdr:rowOff>
    </xdr:from>
    <xdr:to>
      <xdr:col>1</xdr:col>
      <xdr:colOff>0</xdr:colOff>
      <xdr:row>22</xdr:row>
      <xdr:rowOff>152400</xdr:rowOff>
    </xdr:to>
    <xdr:sp>
      <xdr:nvSpPr>
        <xdr:cNvPr id="5" name="Text 2"/>
        <xdr:cNvSpPr txBox="1">
          <a:spLocks noChangeArrowheads="1"/>
        </xdr:cNvSpPr>
      </xdr:nvSpPr>
      <xdr:spPr>
        <a:xfrm>
          <a:off x="123825" y="506730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16</xdr:row>
      <xdr:rowOff>142875</xdr:rowOff>
    </xdr:to>
    <xdr:sp>
      <xdr:nvSpPr>
        <xdr:cNvPr id="6" name="Text 1"/>
        <xdr:cNvSpPr txBox="1">
          <a:spLocks noChangeArrowheads="1"/>
        </xdr:cNvSpPr>
      </xdr:nvSpPr>
      <xdr:spPr>
        <a:xfrm>
          <a:off x="123825" y="2962275"/>
          <a:ext cx="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17</xdr:row>
      <xdr:rowOff>9525</xdr:rowOff>
    </xdr:from>
    <xdr:to>
      <xdr:col>1</xdr:col>
      <xdr:colOff>0</xdr:colOff>
      <xdr:row>17</xdr:row>
      <xdr:rowOff>152400</xdr:rowOff>
    </xdr:to>
    <xdr:sp>
      <xdr:nvSpPr>
        <xdr:cNvPr id="7" name="Text 2"/>
        <xdr:cNvSpPr txBox="1">
          <a:spLocks noChangeArrowheads="1"/>
        </xdr:cNvSpPr>
      </xdr:nvSpPr>
      <xdr:spPr>
        <a:xfrm>
          <a:off x="123825" y="373380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2</xdr:col>
      <xdr:colOff>361950</xdr:colOff>
      <xdr:row>39</xdr:row>
      <xdr:rowOff>0</xdr:rowOff>
    </xdr:from>
    <xdr:ext cx="76200" cy="257175"/>
    <xdr:sp>
      <xdr:nvSpPr>
        <xdr:cNvPr id="8" name="Text 5"/>
        <xdr:cNvSpPr txBox="1">
          <a:spLocks noChangeArrowheads="1"/>
        </xdr:cNvSpPr>
      </xdr:nvSpPr>
      <xdr:spPr>
        <a:xfrm>
          <a:off x="3248025" y="9591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19</xdr:row>
      <xdr:rowOff>0</xdr:rowOff>
    </xdr:from>
    <xdr:to>
      <xdr:col>1</xdr:col>
      <xdr:colOff>0</xdr:colOff>
      <xdr:row>21</xdr:row>
      <xdr:rowOff>142875</xdr:rowOff>
    </xdr:to>
    <xdr:sp>
      <xdr:nvSpPr>
        <xdr:cNvPr id="9" name="Text 1"/>
        <xdr:cNvSpPr txBox="1">
          <a:spLocks noChangeArrowheads="1"/>
        </xdr:cNvSpPr>
      </xdr:nvSpPr>
      <xdr:spPr>
        <a:xfrm>
          <a:off x="123825" y="4257675"/>
          <a:ext cx="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22</xdr:row>
      <xdr:rowOff>9525</xdr:rowOff>
    </xdr:from>
    <xdr:to>
      <xdr:col>1</xdr:col>
      <xdr:colOff>0</xdr:colOff>
      <xdr:row>22</xdr:row>
      <xdr:rowOff>152400</xdr:rowOff>
    </xdr:to>
    <xdr:sp>
      <xdr:nvSpPr>
        <xdr:cNvPr id="10" name="Text 2"/>
        <xdr:cNvSpPr txBox="1">
          <a:spLocks noChangeArrowheads="1"/>
        </xdr:cNvSpPr>
      </xdr:nvSpPr>
      <xdr:spPr>
        <a:xfrm>
          <a:off x="123825" y="506730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10</xdr:col>
      <xdr:colOff>361950</xdr:colOff>
      <xdr:row>39</xdr:row>
      <xdr:rowOff>0</xdr:rowOff>
    </xdr:from>
    <xdr:ext cx="76200" cy="257175"/>
    <xdr:sp>
      <xdr:nvSpPr>
        <xdr:cNvPr id="11" name="Text 5"/>
        <xdr:cNvSpPr txBox="1">
          <a:spLocks noChangeArrowheads="1"/>
        </xdr:cNvSpPr>
      </xdr:nvSpPr>
      <xdr:spPr>
        <a:xfrm>
          <a:off x="7867650" y="9591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39</xdr:row>
      <xdr:rowOff>0</xdr:rowOff>
    </xdr:from>
    <xdr:ext cx="76200" cy="257175"/>
    <xdr:sp>
      <xdr:nvSpPr>
        <xdr:cNvPr id="12" name="Text 5"/>
        <xdr:cNvSpPr txBox="1">
          <a:spLocks noChangeArrowheads="1"/>
        </xdr:cNvSpPr>
      </xdr:nvSpPr>
      <xdr:spPr>
        <a:xfrm>
          <a:off x="7867650" y="9591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3" name="Text 1"/>
        <xdr:cNvSpPr txBox="1">
          <a:spLocks noChangeArrowheads="1"/>
        </xdr:cNvSpPr>
      </xdr:nvSpPr>
      <xdr:spPr>
        <a:xfrm>
          <a:off x="123825" y="230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4" name="Text 2"/>
        <xdr:cNvSpPr txBox="1">
          <a:spLocks noChangeArrowheads="1"/>
        </xdr:cNvSpPr>
      </xdr:nvSpPr>
      <xdr:spPr>
        <a:xfrm>
          <a:off x="123825" y="230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2</xdr:col>
      <xdr:colOff>0</xdr:colOff>
      <xdr:row>20</xdr:row>
      <xdr:rowOff>0</xdr:rowOff>
    </xdr:from>
    <xdr:ext cx="76200" cy="200025"/>
    <xdr:sp>
      <xdr:nvSpPr>
        <xdr:cNvPr id="15" name="Text 5"/>
        <xdr:cNvSpPr txBox="1">
          <a:spLocks noChangeArrowheads="1"/>
        </xdr:cNvSpPr>
      </xdr:nvSpPr>
      <xdr:spPr>
        <a:xfrm>
          <a:off x="2886075" y="452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6" name="Text 1"/>
        <xdr:cNvSpPr txBox="1">
          <a:spLocks noChangeArrowheads="1"/>
        </xdr:cNvSpPr>
      </xdr:nvSpPr>
      <xdr:spPr>
        <a:xfrm>
          <a:off x="123825" y="230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7" name="Text 2"/>
        <xdr:cNvSpPr txBox="1">
          <a:spLocks noChangeArrowheads="1"/>
        </xdr:cNvSpPr>
      </xdr:nvSpPr>
      <xdr:spPr>
        <a:xfrm>
          <a:off x="123825" y="230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8" name="Text 1"/>
        <xdr:cNvSpPr txBox="1">
          <a:spLocks noChangeArrowheads="1"/>
        </xdr:cNvSpPr>
      </xdr:nvSpPr>
      <xdr:spPr>
        <a:xfrm>
          <a:off x="123825" y="230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9" name="Text 2"/>
        <xdr:cNvSpPr txBox="1">
          <a:spLocks noChangeArrowheads="1"/>
        </xdr:cNvSpPr>
      </xdr:nvSpPr>
      <xdr:spPr>
        <a:xfrm>
          <a:off x="123825" y="230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2</xdr:col>
      <xdr:colOff>0</xdr:colOff>
      <xdr:row>20</xdr:row>
      <xdr:rowOff>0</xdr:rowOff>
    </xdr:from>
    <xdr:ext cx="76200" cy="200025"/>
    <xdr:sp>
      <xdr:nvSpPr>
        <xdr:cNvPr id="20" name="Text 5"/>
        <xdr:cNvSpPr txBox="1">
          <a:spLocks noChangeArrowheads="1"/>
        </xdr:cNvSpPr>
      </xdr:nvSpPr>
      <xdr:spPr>
        <a:xfrm>
          <a:off x="2886075" y="452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21" name="Text 1"/>
        <xdr:cNvSpPr txBox="1">
          <a:spLocks noChangeArrowheads="1"/>
        </xdr:cNvSpPr>
      </xdr:nvSpPr>
      <xdr:spPr>
        <a:xfrm>
          <a:off x="123825" y="230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22" name="Text 2"/>
        <xdr:cNvSpPr txBox="1">
          <a:spLocks noChangeArrowheads="1"/>
        </xdr:cNvSpPr>
      </xdr:nvSpPr>
      <xdr:spPr>
        <a:xfrm>
          <a:off x="123825" y="230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9</xdr:col>
      <xdr:colOff>0</xdr:colOff>
      <xdr:row>20</xdr:row>
      <xdr:rowOff>0</xdr:rowOff>
    </xdr:from>
    <xdr:ext cx="76200" cy="200025"/>
    <xdr:sp>
      <xdr:nvSpPr>
        <xdr:cNvPr id="23" name="Text 5"/>
        <xdr:cNvSpPr txBox="1">
          <a:spLocks noChangeArrowheads="1"/>
        </xdr:cNvSpPr>
      </xdr:nvSpPr>
      <xdr:spPr>
        <a:xfrm>
          <a:off x="7000875" y="452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00025"/>
    <xdr:sp>
      <xdr:nvSpPr>
        <xdr:cNvPr id="24" name="Text 5"/>
        <xdr:cNvSpPr txBox="1">
          <a:spLocks noChangeArrowheads="1"/>
        </xdr:cNvSpPr>
      </xdr:nvSpPr>
      <xdr:spPr>
        <a:xfrm>
          <a:off x="7000875" y="452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14</xdr:row>
      <xdr:rowOff>0</xdr:rowOff>
    </xdr:from>
    <xdr:to>
      <xdr:col>1</xdr:col>
      <xdr:colOff>0</xdr:colOff>
      <xdr:row>16</xdr:row>
      <xdr:rowOff>142875</xdr:rowOff>
    </xdr:to>
    <xdr:sp>
      <xdr:nvSpPr>
        <xdr:cNvPr id="25" name="Text 1"/>
        <xdr:cNvSpPr txBox="1">
          <a:spLocks noChangeArrowheads="1"/>
        </xdr:cNvSpPr>
      </xdr:nvSpPr>
      <xdr:spPr>
        <a:xfrm>
          <a:off x="123825" y="2962275"/>
          <a:ext cx="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17</xdr:row>
      <xdr:rowOff>9525</xdr:rowOff>
    </xdr:from>
    <xdr:to>
      <xdr:col>1</xdr:col>
      <xdr:colOff>0</xdr:colOff>
      <xdr:row>17</xdr:row>
      <xdr:rowOff>152400</xdr:rowOff>
    </xdr:to>
    <xdr:sp>
      <xdr:nvSpPr>
        <xdr:cNvPr id="26" name="Text 2"/>
        <xdr:cNvSpPr txBox="1">
          <a:spLocks noChangeArrowheads="1"/>
        </xdr:cNvSpPr>
      </xdr:nvSpPr>
      <xdr:spPr>
        <a:xfrm>
          <a:off x="123825" y="373380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2</xdr:col>
      <xdr:colOff>361950</xdr:colOff>
      <xdr:row>40</xdr:row>
      <xdr:rowOff>0</xdr:rowOff>
    </xdr:from>
    <xdr:ext cx="76200" cy="200025"/>
    <xdr:sp>
      <xdr:nvSpPr>
        <xdr:cNvPr id="27" name="Text 5"/>
        <xdr:cNvSpPr txBox="1">
          <a:spLocks noChangeArrowheads="1"/>
        </xdr:cNvSpPr>
      </xdr:nvSpPr>
      <xdr:spPr>
        <a:xfrm>
          <a:off x="3248025" y="984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19</xdr:row>
      <xdr:rowOff>0</xdr:rowOff>
    </xdr:from>
    <xdr:to>
      <xdr:col>1</xdr:col>
      <xdr:colOff>0</xdr:colOff>
      <xdr:row>21</xdr:row>
      <xdr:rowOff>142875</xdr:rowOff>
    </xdr:to>
    <xdr:sp>
      <xdr:nvSpPr>
        <xdr:cNvPr id="28" name="Text 1"/>
        <xdr:cNvSpPr txBox="1">
          <a:spLocks noChangeArrowheads="1"/>
        </xdr:cNvSpPr>
      </xdr:nvSpPr>
      <xdr:spPr>
        <a:xfrm>
          <a:off x="123825" y="4257675"/>
          <a:ext cx="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22</xdr:row>
      <xdr:rowOff>9525</xdr:rowOff>
    </xdr:from>
    <xdr:to>
      <xdr:col>1</xdr:col>
      <xdr:colOff>0</xdr:colOff>
      <xdr:row>22</xdr:row>
      <xdr:rowOff>152400</xdr:rowOff>
    </xdr:to>
    <xdr:sp>
      <xdr:nvSpPr>
        <xdr:cNvPr id="29" name="Text 2"/>
        <xdr:cNvSpPr txBox="1">
          <a:spLocks noChangeArrowheads="1"/>
        </xdr:cNvSpPr>
      </xdr:nvSpPr>
      <xdr:spPr>
        <a:xfrm>
          <a:off x="123825" y="506730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16</xdr:row>
      <xdr:rowOff>142875</xdr:rowOff>
    </xdr:to>
    <xdr:sp>
      <xdr:nvSpPr>
        <xdr:cNvPr id="30" name="Text 1"/>
        <xdr:cNvSpPr txBox="1">
          <a:spLocks noChangeArrowheads="1"/>
        </xdr:cNvSpPr>
      </xdr:nvSpPr>
      <xdr:spPr>
        <a:xfrm>
          <a:off x="123825" y="2962275"/>
          <a:ext cx="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17</xdr:row>
      <xdr:rowOff>9525</xdr:rowOff>
    </xdr:from>
    <xdr:to>
      <xdr:col>1</xdr:col>
      <xdr:colOff>0</xdr:colOff>
      <xdr:row>17</xdr:row>
      <xdr:rowOff>152400</xdr:rowOff>
    </xdr:to>
    <xdr:sp>
      <xdr:nvSpPr>
        <xdr:cNvPr id="31" name="Text 2"/>
        <xdr:cNvSpPr txBox="1">
          <a:spLocks noChangeArrowheads="1"/>
        </xdr:cNvSpPr>
      </xdr:nvSpPr>
      <xdr:spPr>
        <a:xfrm>
          <a:off x="123825" y="373380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2</xdr:col>
      <xdr:colOff>361950</xdr:colOff>
      <xdr:row>40</xdr:row>
      <xdr:rowOff>0</xdr:rowOff>
    </xdr:from>
    <xdr:ext cx="76200" cy="200025"/>
    <xdr:sp>
      <xdr:nvSpPr>
        <xdr:cNvPr id="32" name="Text 5"/>
        <xdr:cNvSpPr txBox="1">
          <a:spLocks noChangeArrowheads="1"/>
        </xdr:cNvSpPr>
      </xdr:nvSpPr>
      <xdr:spPr>
        <a:xfrm>
          <a:off x="3248025" y="984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19</xdr:row>
      <xdr:rowOff>0</xdr:rowOff>
    </xdr:from>
    <xdr:to>
      <xdr:col>1</xdr:col>
      <xdr:colOff>0</xdr:colOff>
      <xdr:row>21</xdr:row>
      <xdr:rowOff>142875</xdr:rowOff>
    </xdr:to>
    <xdr:sp>
      <xdr:nvSpPr>
        <xdr:cNvPr id="33" name="Text 1"/>
        <xdr:cNvSpPr txBox="1">
          <a:spLocks noChangeArrowheads="1"/>
        </xdr:cNvSpPr>
      </xdr:nvSpPr>
      <xdr:spPr>
        <a:xfrm>
          <a:off x="123825" y="4257675"/>
          <a:ext cx="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22</xdr:row>
      <xdr:rowOff>9525</xdr:rowOff>
    </xdr:from>
    <xdr:to>
      <xdr:col>1</xdr:col>
      <xdr:colOff>0</xdr:colOff>
      <xdr:row>22</xdr:row>
      <xdr:rowOff>152400</xdr:rowOff>
    </xdr:to>
    <xdr:sp>
      <xdr:nvSpPr>
        <xdr:cNvPr id="34" name="Text 2"/>
        <xdr:cNvSpPr txBox="1">
          <a:spLocks noChangeArrowheads="1"/>
        </xdr:cNvSpPr>
      </xdr:nvSpPr>
      <xdr:spPr>
        <a:xfrm>
          <a:off x="123825" y="506730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10</xdr:col>
      <xdr:colOff>361950</xdr:colOff>
      <xdr:row>40</xdr:row>
      <xdr:rowOff>0</xdr:rowOff>
    </xdr:from>
    <xdr:ext cx="76200" cy="200025"/>
    <xdr:sp>
      <xdr:nvSpPr>
        <xdr:cNvPr id="35" name="Text 5"/>
        <xdr:cNvSpPr txBox="1">
          <a:spLocks noChangeArrowheads="1"/>
        </xdr:cNvSpPr>
      </xdr:nvSpPr>
      <xdr:spPr>
        <a:xfrm>
          <a:off x="7867650" y="984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40</xdr:row>
      <xdr:rowOff>0</xdr:rowOff>
    </xdr:from>
    <xdr:ext cx="76200" cy="200025"/>
    <xdr:sp>
      <xdr:nvSpPr>
        <xdr:cNvPr id="36" name="Text 5"/>
        <xdr:cNvSpPr txBox="1">
          <a:spLocks noChangeArrowheads="1"/>
        </xdr:cNvSpPr>
      </xdr:nvSpPr>
      <xdr:spPr>
        <a:xfrm>
          <a:off x="7867650" y="984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37" name="Text 1"/>
        <xdr:cNvSpPr txBox="1">
          <a:spLocks noChangeArrowheads="1"/>
        </xdr:cNvSpPr>
      </xdr:nvSpPr>
      <xdr:spPr>
        <a:xfrm>
          <a:off x="123825" y="230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38" name="Text 2"/>
        <xdr:cNvSpPr txBox="1">
          <a:spLocks noChangeArrowheads="1"/>
        </xdr:cNvSpPr>
      </xdr:nvSpPr>
      <xdr:spPr>
        <a:xfrm>
          <a:off x="123825" y="230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2</xdr:col>
      <xdr:colOff>0</xdr:colOff>
      <xdr:row>20</xdr:row>
      <xdr:rowOff>0</xdr:rowOff>
    </xdr:from>
    <xdr:ext cx="76200" cy="200025"/>
    <xdr:sp>
      <xdr:nvSpPr>
        <xdr:cNvPr id="39" name="Text 5"/>
        <xdr:cNvSpPr txBox="1">
          <a:spLocks noChangeArrowheads="1"/>
        </xdr:cNvSpPr>
      </xdr:nvSpPr>
      <xdr:spPr>
        <a:xfrm>
          <a:off x="2886075" y="452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40" name="Text 1"/>
        <xdr:cNvSpPr txBox="1">
          <a:spLocks noChangeArrowheads="1"/>
        </xdr:cNvSpPr>
      </xdr:nvSpPr>
      <xdr:spPr>
        <a:xfrm>
          <a:off x="123825" y="230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41" name="Text 2"/>
        <xdr:cNvSpPr txBox="1">
          <a:spLocks noChangeArrowheads="1"/>
        </xdr:cNvSpPr>
      </xdr:nvSpPr>
      <xdr:spPr>
        <a:xfrm>
          <a:off x="123825" y="230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42" name="Text 1"/>
        <xdr:cNvSpPr txBox="1">
          <a:spLocks noChangeArrowheads="1"/>
        </xdr:cNvSpPr>
      </xdr:nvSpPr>
      <xdr:spPr>
        <a:xfrm>
          <a:off x="123825" y="230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43" name="Text 2"/>
        <xdr:cNvSpPr txBox="1">
          <a:spLocks noChangeArrowheads="1"/>
        </xdr:cNvSpPr>
      </xdr:nvSpPr>
      <xdr:spPr>
        <a:xfrm>
          <a:off x="123825" y="230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2</xdr:col>
      <xdr:colOff>0</xdr:colOff>
      <xdr:row>20</xdr:row>
      <xdr:rowOff>0</xdr:rowOff>
    </xdr:from>
    <xdr:ext cx="76200" cy="200025"/>
    <xdr:sp>
      <xdr:nvSpPr>
        <xdr:cNvPr id="44" name="Text 5"/>
        <xdr:cNvSpPr txBox="1">
          <a:spLocks noChangeArrowheads="1"/>
        </xdr:cNvSpPr>
      </xdr:nvSpPr>
      <xdr:spPr>
        <a:xfrm>
          <a:off x="2886075" y="452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45" name="Text 1"/>
        <xdr:cNvSpPr txBox="1">
          <a:spLocks noChangeArrowheads="1"/>
        </xdr:cNvSpPr>
      </xdr:nvSpPr>
      <xdr:spPr>
        <a:xfrm>
          <a:off x="123825" y="230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46" name="Text 2"/>
        <xdr:cNvSpPr txBox="1">
          <a:spLocks noChangeArrowheads="1"/>
        </xdr:cNvSpPr>
      </xdr:nvSpPr>
      <xdr:spPr>
        <a:xfrm>
          <a:off x="123825" y="230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9</xdr:col>
      <xdr:colOff>0</xdr:colOff>
      <xdr:row>20</xdr:row>
      <xdr:rowOff>0</xdr:rowOff>
    </xdr:from>
    <xdr:ext cx="76200" cy="200025"/>
    <xdr:sp>
      <xdr:nvSpPr>
        <xdr:cNvPr id="47" name="Text 5"/>
        <xdr:cNvSpPr txBox="1">
          <a:spLocks noChangeArrowheads="1"/>
        </xdr:cNvSpPr>
      </xdr:nvSpPr>
      <xdr:spPr>
        <a:xfrm>
          <a:off x="7000875" y="452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00025"/>
    <xdr:sp>
      <xdr:nvSpPr>
        <xdr:cNvPr id="48" name="Text 5"/>
        <xdr:cNvSpPr txBox="1">
          <a:spLocks noChangeArrowheads="1"/>
        </xdr:cNvSpPr>
      </xdr:nvSpPr>
      <xdr:spPr>
        <a:xfrm>
          <a:off x="7000875" y="452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276225</xdr:colOff>
      <xdr:row>0</xdr:row>
      <xdr:rowOff>0</xdr:rowOff>
    </xdr:from>
    <xdr:to>
      <xdr:col>28</xdr:col>
      <xdr:colOff>0</xdr:colOff>
      <xdr:row>30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305800" y="0"/>
          <a:ext cx="247650" cy="6438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- 30 -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0</xdr:rowOff>
    </xdr:from>
    <xdr:to>
      <xdr:col>2</xdr:col>
      <xdr:colOff>200025</xdr:colOff>
      <xdr:row>3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71500" y="60960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Administration
</a:t>
          </a:r>
        </a:p>
      </xdr:txBody>
    </xdr:sp>
    <xdr:clientData/>
  </xdr:twoCellAnchor>
  <xdr:twoCellAnchor>
    <xdr:from>
      <xdr:col>18</xdr:col>
      <xdr:colOff>0</xdr:colOff>
      <xdr:row>0</xdr:row>
      <xdr:rowOff>38100</xdr:rowOff>
    </xdr:from>
    <xdr:to>
      <xdr:col>18</xdr:col>
      <xdr:colOff>0</xdr:colOff>
      <xdr:row>24</xdr:row>
      <xdr:rowOff>114300</xdr:rowOff>
    </xdr:to>
    <xdr:sp>
      <xdr:nvSpPr>
        <xdr:cNvPr id="2" name="Text 1"/>
        <xdr:cNvSpPr txBox="1">
          <a:spLocks noChangeArrowheads="1"/>
        </xdr:cNvSpPr>
      </xdr:nvSpPr>
      <xdr:spPr>
        <a:xfrm>
          <a:off x="1914525" y="38100"/>
          <a:ext cx="0" cy="543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- 18 -</a:t>
          </a:r>
        </a:p>
      </xdr:txBody>
    </xdr:sp>
    <xdr:clientData/>
  </xdr:twoCellAnchor>
  <xdr:twoCellAnchor>
    <xdr:from>
      <xdr:col>27</xdr:col>
      <xdr:colOff>257175</xdr:colOff>
      <xdr:row>0</xdr:row>
      <xdr:rowOff>0</xdr:rowOff>
    </xdr:from>
    <xdr:to>
      <xdr:col>27</xdr:col>
      <xdr:colOff>561975</xdr:colOff>
      <xdr:row>30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8562975" y="0"/>
          <a:ext cx="304800" cy="6686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- 31 - 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200025</xdr:colOff>
      <xdr:row>0</xdr:row>
      <xdr:rowOff>0</xdr:rowOff>
    </xdr:from>
    <xdr:to>
      <xdr:col>13</xdr:col>
      <xdr:colOff>438150</xdr:colOff>
      <xdr:row>38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029700" y="0"/>
          <a:ext cx="238125" cy="6276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- 32 -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200025</xdr:colOff>
      <xdr:row>0</xdr:row>
      <xdr:rowOff>0</xdr:rowOff>
    </xdr:from>
    <xdr:to>
      <xdr:col>13</xdr:col>
      <xdr:colOff>438150</xdr:colOff>
      <xdr:row>39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782050" y="0"/>
          <a:ext cx="238125" cy="709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- 33 -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0763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\4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0763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\5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247650</xdr:colOff>
      <xdr:row>0</xdr:row>
      <xdr:rowOff>38100</xdr:rowOff>
    </xdr:from>
    <xdr:to>
      <xdr:col>17</xdr:col>
      <xdr:colOff>0</xdr:colOff>
      <xdr:row>30</xdr:row>
      <xdr:rowOff>190500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943975" y="38100"/>
          <a:ext cx="133350" cy="6772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- 12 -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</xdr:row>
      <xdr:rowOff>28575</xdr:rowOff>
    </xdr:from>
    <xdr:to>
      <xdr:col>2</xdr:col>
      <xdr:colOff>390525</xdr:colOff>
      <xdr:row>2</xdr:row>
      <xdr:rowOff>714375</xdr:rowOff>
    </xdr:to>
    <xdr:sp>
      <xdr:nvSpPr>
        <xdr:cNvPr id="1" name="Text 1"/>
        <xdr:cNvSpPr txBox="1">
          <a:spLocks noChangeArrowheads="1"/>
        </xdr:cNvSpPr>
      </xdr:nvSpPr>
      <xdr:spPr>
        <a:xfrm>
          <a:off x="2314575" y="304800"/>
          <a:ext cx="323850" cy="685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Deputy Head Teacher</a:t>
          </a:r>
        </a:p>
      </xdr:txBody>
    </xdr:sp>
    <xdr:clientData/>
  </xdr:twoCellAnchor>
  <xdr:twoCellAnchor>
    <xdr:from>
      <xdr:col>11</xdr:col>
      <xdr:colOff>66675</xdr:colOff>
      <xdr:row>2</xdr:row>
      <xdr:rowOff>190500</xdr:rowOff>
    </xdr:from>
    <xdr:to>
      <xdr:col>11</xdr:col>
      <xdr:colOff>390525</xdr:colOff>
      <xdr:row>2</xdr:row>
      <xdr:rowOff>742950</xdr:rowOff>
    </xdr:to>
    <xdr:sp>
      <xdr:nvSpPr>
        <xdr:cNvPr id="2" name="Text 3"/>
        <xdr:cNvSpPr txBox="1">
          <a:spLocks noChangeArrowheads="1"/>
        </xdr:cNvSpPr>
      </xdr:nvSpPr>
      <xdr:spPr>
        <a:xfrm>
          <a:off x="6572250" y="466725"/>
          <a:ext cx="32385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Modern Chinese</a:t>
          </a:r>
        </a:p>
      </xdr:txBody>
    </xdr:sp>
    <xdr:clientData/>
  </xdr:twoCellAnchor>
  <xdr:twoCellAnchor>
    <xdr:from>
      <xdr:col>17</xdr:col>
      <xdr:colOff>95250</xdr:colOff>
      <xdr:row>0</xdr:row>
      <xdr:rowOff>0</xdr:rowOff>
    </xdr:from>
    <xdr:to>
      <xdr:col>18</xdr:col>
      <xdr:colOff>0</xdr:colOff>
      <xdr:row>26</xdr:row>
      <xdr:rowOff>133350</xdr:rowOff>
    </xdr:to>
    <xdr:sp>
      <xdr:nvSpPr>
        <xdr:cNvPr id="3" name="Text 4"/>
        <xdr:cNvSpPr txBox="1">
          <a:spLocks noChangeArrowheads="1"/>
        </xdr:cNvSpPr>
      </xdr:nvSpPr>
      <xdr:spPr>
        <a:xfrm>
          <a:off x="9153525" y="0"/>
          <a:ext cx="381000" cy="6591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- 16 -
</a:t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12</xdr:col>
      <xdr:colOff>0</xdr:colOff>
      <xdr:row>2</xdr:row>
      <xdr:rowOff>228600</xdr:rowOff>
    </xdr:to>
    <xdr:sp>
      <xdr:nvSpPr>
        <xdr:cNvPr id="4" name="Text 5"/>
        <xdr:cNvSpPr txBox="1">
          <a:spLocks noChangeArrowheads="1"/>
        </xdr:cNvSpPr>
      </xdr:nvSpPr>
      <xdr:spPr>
        <a:xfrm>
          <a:off x="3248025" y="285750"/>
          <a:ext cx="37242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Teacher, Oriental language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66675</xdr:colOff>
      <xdr:row>18</xdr:row>
      <xdr:rowOff>190500</xdr:rowOff>
    </xdr:from>
    <xdr:to>
      <xdr:col>11</xdr:col>
      <xdr:colOff>400050</xdr:colOff>
      <xdr:row>18</xdr:row>
      <xdr:rowOff>723900</xdr:rowOff>
    </xdr:to>
    <xdr:sp>
      <xdr:nvSpPr>
        <xdr:cNvPr id="5" name="Text 3"/>
        <xdr:cNvSpPr txBox="1">
          <a:spLocks noChangeArrowheads="1"/>
        </xdr:cNvSpPr>
      </xdr:nvSpPr>
      <xdr:spPr>
        <a:xfrm>
          <a:off x="6572250" y="4105275"/>
          <a:ext cx="333375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Modern Chinese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12</xdr:col>
      <xdr:colOff>0</xdr:colOff>
      <xdr:row>18</xdr:row>
      <xdr:rowOff>219075</xdr:rowOff>
    </xdr:to>
    <xdr:sp>
      <xdr:nvSpPr>
        <xdr:cNvPr id="6" name="Text 5"/>
        <xdr:cNvSpPr txBox="1">
          <a:spLocks noChangeArrowheads="1"/>
        </xdr:cNvSpPr>
      </xdr:nvSpPr>
      <xdr:spPr>
        <a:xfrm>
          <a:off x="3248025" y="3924300"/>
          <a:ext cx="3724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Teacher, Oriental language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47625</xdr:colOff>
      <xdr:row>18</xdr:row>
      <xdr:rowOff>19050</xdr:rowOff>
    </xdr:from>
    <xdr:to>
      <xdr:col>2</xdr:col>
      <xdr:colOff>409575</xdr:colOff>
      <xdr:row>18</xdr:row>
      <xdr:rowOff>704850</xdr:rowOff>
    </xdr:to>
    <xdr:sp>
      <xdr:nvSpPr>
        <xdr:cNvPr id="7" name="Text 1"/>
        <xdr:cNvSpPr txBox="1">
          <a:spLocks noChangeArrowheads="1"/>
        </xdr:cNvSpPr>
      </xdr:nvSpPr>
      <xdr:spPr>
        <a:xfrm>
          <a:off x="2295525" y="3933825"/>
          <a:ext cx="361950" cy="685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Deputy Head Teacher</a:t>
          </a:r>
        </a:p>
      </xdr:txBody>
    </xdr:sp>
    <xdr:clientData/>
  </xdr:twoCellAnchor>
  <xdr:twoCellAnchor>
    <xdr:from>
      <xdr:col>3</xdr:col>
      <xdr:colOff>66675</xdr:colOff>
      <xdr:row>18</xdr:row>
      <xdr:rowOff>19050</xdr:rowOff>
    </xdr:from>
    <xdr:to>
      <xdr:col>3</xdr:col>
      <xdr:colOff>514350</xdr:colOff>
      <xdr:row>18</xdr:row>
      <xdr:rowOff>723900</xdr:rowOff>
    </xdr:to>
    <xdr:sp>
      <xdr:nvSpPr>
        <xdr:cNvPr id="8" name="Text 2"/>
        <xdr:cNvSpPr txBox="1">
          <a:spLocks noChangeArrowheads="1"/>
        </xdr:cNvSpPr>
      </xdr:nvSpPr>
      <xdr:spPr>
        <a:xfrm>
          <a:off x="2743200" y="3933825"/>
          <a:ext cx="447675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Teacher General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Purpose *</a:t>
          </a:r>
        </a:p>
      </xdr:txBody>
    </xdr:sp>
    <xdr:clientData/>
  </xdr:twoCellAnchor>
  <xdr:twoCellAnchor>
    <xdr:from>
      <xdr:col>3</xdr:col>
      <xdr:colOff>57150</xdr:colOff>
      <xdr:row>2</xdr:row>
      <xdr:rowOff>19050</xdr:rowOff>
    </xdr:from>
    <xdr:to>
      <xdr:col>3</xdr:col>
      <xdr:colOff>523875</xdr:colOff>
      <xdr:row>2</xdr:row>
      <xdr:rowOff>723900</xdr:rowOff>
    </xdr:to>
    <xdr:sp>
      <xdr:nvSpPr>
        <xdr:cNvPr id="9" name="Text 2"/>
        <xdr:cNvSpPr txBox="1">
          <a:spLocks noChangeArrowheads="1"/>
        </xdr:cNvSpPr>
      </xdr:nvSpPr>
      <xdr:spPr>
        <a:xfrm>
          <a:off x="2733675" y="295275"/>
          <a:ext cx="466725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Teacher General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Purpose *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0</xdr:rowOff>
    </xdr:from>
    <xdr:to>
      <xdr:col>2</xdr:col>
      <xdr:colOff>200025</xdr:colOff>
      <xdr:row>3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71500" y="58102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Administration
</a:t>
          </a:r>
        </a:p>
      </xdr:txBody>
    </xdr:sp>
    <xdr:clientData/>
  </xdr:twoCellAnchor>
  <xdr:twoCellAnchor>
    <xdr:from>
      <xdr:col>12</xdr:col>
      <xdr:colOff>0</xdr:colOff>
      <xdr:row>0</xdr:row>
      <xdr:rowOff>28575</xdr:rowOff>
    </xdr:from>
    <xdr:to>
      <xdr:col>12</xdr:col>
      <xdr:colOff>0</xdr:colOff>
      <xdr:row>14</xdr:row>
      <xdr:rowOff>190500</xdr:rowOff>
    </xdr:to>
    <xdr:sp>
      <xdr:nvSpPr>
        <xdr:cNvPr id="2" name="Text 1"/>
        <xdr:cNvSpPr txBox="1">
          <a:spLocks noChangeArrowheads="1"/>
        </xdr:cNvSpPr>
      </xdr:nvSpPr>
      <xdr:spPr>
        <a:xfrm>
          <a:off x="4286250" y="28575"/>
          <a:ext cx="0" cy="6486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- 13 -</a:t>
          </a:r>
        </a:p>
      </xdr:txBody>
    </xdr:sp>
    <xdr:clientData/>
  </xdr:twoCellAnchor>
  <xdr:twoCellAnchor>
    <xdr:from>
      <xdr:col>18</xdr:col>
      <xdr:colOff>247650</xdr:colOff>
      <xdr:row>0</xdr:row>
      <xdr:rowOff>28575</xdr:rowOff>
    </xdr:from>
    <xdr:to>
      <xdr:col>18</xdr:col>
      <xdr:colOff>561975</xdr:colOff>
      <xdr:row>14</xdr:row>
      <xdr:rowOff>190500</xdr:rowOff>
    </xdr:to>
    <xdr:sp>
      <xdr:nvSpPr>
        <xdr:cNvPr id="3" name="Text 1"/>
        <xdr:cNvSpPr txBox="1">
          <a:spLocks noChangeArrowheads="1"/>
        </xdr:cNvSpPr>
      </xdr:nvSpPr>
      <xdr:spPr>
        <a:xfrm>
          <a:off x="8296275" y="28575"/>
          <a:ext cx="314325" cy="6486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- 17 -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0</xdr:row>
      <xdr:rowOff>0</xdr:rowOff>
    </xdr:from>
    <xdr:to>
      <xdr:col>11</xdr:col>
      <xdr:colOff>561975</xdr:colOff>
      <xdr:row>24</xdr:row>
      <xdr:rowOff>200025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886825" y="0"/>
          <a:ext cx="266700" cy="6477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- 18 -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247650</xdr:colOff>
      <xdr:row>0</xdr:row>
      <xdr:rowOff>28575</xdr:rowOff>
    </xdr:from>
    <xdr:to>
      <xdr:col>14</xdr:col>
      <xdr:colOff>0</xdr:colOff>
      <xdr:row>33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791575" y="28575"/>
          <a:ext cx="352425" cy="7419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- 20 -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257175</xdr:colOff>
      <xdr:row>0</xdr:row>
      <xdr:rowOff>0</xdr:rowOff>
    </xdr:from>
    <xdr:to>
      <xdr:col>14</xdr:col>
      <xdr:colOff>581025</xdr:colOff>
      <xdr:row>29</xdr:row>
      <xdr:rowOff>161925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991600" y="0"/>
          <a:ext cx="323850" cy="6257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- 26 -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266700</xdr:colOff>
      <xdr:row>0</xdr:row>
      <xdr:rowOff>0</xdr:rowOff>
    </xdr:from>
    <xdr:to>
      <xdr:col>13</xdr:col>
      <xdr:colOff>238125</xdr:colOff>
      <xdr:row>26</xdr:row>
      <xdr:rowOff>228600</xdr:rowOff>
    </xdr:to>
    <xdr:sp>
      <xdr:nvSpPr>
        <xdr:cNvPr id="1" name="Text 4"/>
        <xdr:cNvSpPr txBox="1">
          <a:spLocks noChangeArrowheads="1"/>
        </xdr:cNvSpPr>
      </xdr:nvSpPr>
      <xdr:spPr>
        <a:xfrm>
          <a:off x="8820150" y="0"/>
          <a:ext cx="304800" cy="6496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- 29 -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p-Analysis%2006\Secondary-Comp-analysis%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land"/>
      <sheetName val="Rodrigues"/>
      <sheetName val="Republic"/>
      <sheetName val="Pop"/>
    </sheetNames>
    <sheetDataSet>
      <sheetData sheetId="2">
        <row r="39">
          <cell r="G39">
            <v>105988</v>
          </cell>
          <cell r="H39">
            <v>110287</v>
          </cell>
          <cell r="I39">
            <v>114657</v>
          </cell>
        </row>
        <row r="55">
          <cell r="G55">
            <v>8488</v>
          </cell>
          <cell r="H55">
            <v>9845</v>
          </cell>
          <cell r="I55">
            <v>10424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2"/>
  <sheetViews>
    <sheetView zoomScalePageLayoutView="0" workbookViewId="0" topLeftCell="A12">
      <selection activeCell="B12" sqref="B12:H12"/>
    </sheetView>
  </sheetViews>
  <sheetFormatPr defaultColWidth="9.140625" defaultRowHeight="12.75"/>
  <cols>
    <col min="1" max="1" width="5.7109375" style="2" customWidth="1"/>
    <col min="2" max="6" width="9.140625" style="2" customWidth="1"/>
    <col min="7" max="7" width="8.8515625" style="2" customWidth="1"/>
    <col min="8" max="8" width="30.00390625" style="2" customWidth="1"/>
    <col min="9" max="9" width="7.57421875" style="2" customWidth="1"/>
    <col min="10" max="16384" width="9.140625" style="2" customWidth="1"/>
  </cols>
  <sheetData>
    <row r="1" spans="1:9" ht="25.5" customHeight="1">
      <c r="A1" s="1254" t="s">
        <v>336</v>
      </c>
      <c r="B1" s="1254"/>
      <c r="C1" s="1254"/>
      <c r="D1" s="1254"/>
      <c r="E1" s="1254"/>
      <c r="F1" s="1254"/>
      <c r="G1" s="1254"/>
      <c r="H1" s="1254"/>
      <c r="I1" s="1254"/>
    </row>
    <row r="2" spans="1:8" ht="11.25" customHeight="1">
      <c r="A2" s="1255"/>
      <c r="B2" s="1255"/>
      <c r="C2" s="1255"/>
      <c r="D2" s="1255"/>
      <c r="E2" s="1255"/>
      <c r="F2" s="1255"/>
      <c r="G2" s="1255"/>
      <c r="H2" s="1255"/>
    </row>
    <row r="3" spans="1:8" ht="21" customHeight="1">
      <c r="A3" s="1255"/>
      <c r="B3" s="1255"/>
      <c r="C3" s="1255"/>
      <c r="D3" s="1255"/>
      <c r="E3" s="1255"/>
      <c r="F3" s="1255"/>
      <c r="G3" s="1255"/>
      <c r="H3" s="1255"/>
    </row>
    <row r="4" spans="2:9" ht="27.75" customHeight="1">
      <c r="B4" s="1256"/>
      <c r="C4" s="1256"/>
      <c r="D4" s="1256"/>
      <c r="E4" s="1256"/>
      <c r="F4" s="1256"/>
      <c r="G4" s="1256"/>
      <c r="H4" s="1256"/>
      <c r="I4" s="1144" t="s">
        <v>283</v>
      </c>
    </row>
    <row r="5" spans="1:8" ht="15" customHeight="1">
      <c r="A5" s="1144"/>
      <c r="B5" s="1257"/>
      <c r="C5" s="1257"/>
      <c r="D5" s="1257"/>
      <c r="E5" s="1257"/>
      <c r="F5" s="1257"/>
      <c r="G5" s="1257"/>
      <c r="H5" s="1257"/>
    </row>
    <row r="6" spans="1:8" ht="21" customHeight="1">
      <c r="A6" s="1146"/>
      <c r="B6" s="1255" t="s">
        <v>337</v>
      </c>
      <c r="C6" s="1255"/>
      <c r="D6" s="1255"/>
      <c r="E6" s="1255"/>
      <c r="F6" s="1255"/>
      <c r="G6" s="1255"/>
      <c r="H6" s="1255"/>
    </row>
    <row r="7" spans="1:9" ht="21" customHeight="1">
      <c r="A7" s="1147" t="s">
        <v>284</v>
      </c>
      <c r="B7" s="1256" t="s">
        <v>367</v>
      </c>
      <c r="C7" s="1256"/>
      <c r="D7" s="1256"/>
      <c r="E7" s="1256"/>
      <c r="F7" s="1256"/>
      <c r="G7" s="1256"/>
      <c r="H7" s="1256"/>
      <c r="I7" s="1">
        <v>7</v>
      </c>
    </row>
    <row r="8" spans="1:8" ht="21" customHeight="1">
      <c r="A8" s="1144"/>
      <c r="B8" s="1256"/>
      <c r="C8" s="1256"/>
      <c r="D8" s="1256"/>
      <c r="E8" s="1256"/>
      <c r="F8" s="1256"/>
      <c r="G8" s="1256"/>
      <c r="H8" s="1256"/>
    </row>
    <row r="9" spans="1:8" ht="21" customHeight="1">
      <c r="A9" s="1146"/>
      <c r="B9" s="1255" t="s">
        <v>285</v>
      </c>
      <c r="C9" s="1255"/>
      <c r="D9" s="1255"/>
      <c r="E9" s="1255"/>
      <c r="F9" s="1255"/>
      <c r="G9" s="1255"/>
      <c r="H9" s="1255"/>
    </row>
    <row r="10" spans="1:9" ht="21" customHeight="1">
      <c r="A10" s="1145">
        <v>2.1</v>
      </c>
      <c r="B10" s="1256" t="s">
        <v>366</v>
      </c>
      <c r="C10" s="1256"/>
      <c r="D10" s="1256"/>
      <c r="E10" s="1256"/>
      <c r="F10" s="1256"/>
      <c r="G10" s="1256"/>
      <c r="H10" s="1256"/>
      <c r="I10" s="1">
        <v>8</v>
      </c>
    </row>
    <row r="11" spans="1:9" ht="21" customHeight="1">
      <c r="A11" s="1145">
        <v>2.2</v>
      </c>
      <c r="B11" s="1256" t="s">
        <v>368</v>
      </c>
      <c r="C11" s="1256"/>
      <c r="D11" s="1256"/>
      <c r="E11" s="1256"/>
      <c r="F11" s="1256"/>
      <c r="G11" s="1256"/>
      <c r="H11" s="1256"/>
      <c r="I11" s="1">
        <v>8</v>
      </c>
    </row>
    <row r="12" spans="1:9" ht="21" customHeight="1">
      <c r="A12" s="1148"/>
      <c r="B12" s="1256"/>
      <c r="C12" s="1256"/>
      <c r="D12" s="1256"/>
      <c r="E12" s="1256"/>
      <c r="F12" s="1256"/>
      <c r="G12" s="1256"/>
      <c r="H12" s="1256"/>
      <c r="I12" s="1"/>
    </row>
    <row r="13" spans="1:9" ht="21" customHeight="1">
      <c r="A13" s="1146"/>
      <c r="B13" s="1258" t="s">
        <v>286</v>
      </c>
      <c r="C13" s="1259"/>
      <c r="D13" s="1259"/>
      <c r="E13" s="1259"/>
      <c r="F13" s="1259"/>
      <c r="G13" s="1259"/>
      <c r="H13" s="1259"/>
      <c r="I13" s="1"/>
    </row>
    <row r="14" spans="1:9" ht="21" customHeight="1">
      <c r="A14" s="1147" t="s">
        <v>287</v>
      </c>
      <c r="B14" s="2" t="s">
        <v>369</v>
      </c>
      <c r="I14" s="1">
        <v>9</v>
      </c>
    </row>
    <row r="15" spans="1:9" ht="21" customHeight="1">
      <c r="A15" s="1147" t="s">
        <v>288</v>
      </c>
      <c r="B15" s="2" t="s">
        <v>370</v>
      </c>
      <c r="I15" s="1">
        <v>9</v>
      </c>
    </row>
    <row r="16" spans="1:9" ht="21" customHeight="1">
      <c r="A16" s="1147" t="s">
        <v>289</v>
      </c>
      <c r="B16" s="2" t="s">
        <v>371</v>
      </c>
      <c r="I16" s="1">
        <v>10</v>
      </c>
    </row>
    <row r="17" spans="1:9" ht="21" customHeight="1">
      <c r="A17" s="1147" t="s">
        <v>290</v>
      </c>
      <c r="B17" s="1260" t="s">
        <v>372</v>
      </c>
      <c r="C17" s="1260"/>
      <c r="D17" s="1260"/>
      <c r="E17" s="1260"/>
      <c r="F17" s="1260"/>
      <c r="G17" s="1260"/>
      <c r="H17" s="1260"/>
      <c r="I17" s="1">
        <v>10</v>
      </c>
    </row>
    <row r="18" spans="1:9" ht="21" customHeight="1">
      <c r="A18" s="1145"/>
      <c r="B18" s="3"/>
      <c r="C18" s="3"/>
      <c r="D18" s="3"/>
      <c r="E18" s="3"/>
      <c r="F18" s="3"/>
      <c r="G18" s="3"/>
      <c r="H18" s="3"/>
      <c r="I18" s="1"/>
    </row>
    <row r="19" spans="1:9" ht="21" customHeight="1">
      <c r="A19" s="1146"/>
      <c r="B19" s="1258" t="s">
        <v>291</v>
      </c>
      <c r="C19" s="1259"/>
      <c r="D19" s="1259"/>
      <c r="E19" s="1259"/>
      <c r="F19" s="1259"/>
      <c r="G19" s="1259"/>
      <c r="H19" s="1259"/>
      <c r="I19" s="1"/>
    </row>
    <row r="20" spans="1:9" ht="21" customHeight="1">
      <c r="A20" s="1147" t="s">
        <v>292</v>
      </c>
      <c r="B20" s="2" t="s">
        <v>373</v>
      </c>
      <c r="I20" s="1">
        <v>11</v>
      </c>
    </row>
    <row r="21" spans="1:9" ht="21" customHeight="1">
      <c r="A21" s="1145">
        <v>4.2</v>
      </c>
      <c r="B21" s="2" t="s">
        <v>374</v>
      </c>
      <c r="I21" s="1">
        <v>11</v>
      </c>
    </row>
    <row r="22" spans="1:9" ht="21" customHeight="1">
      <c r="A22" s="369">
        <v>4.3</v>
      </c>
      <c r="B22" s="2" t="s">
        <v>375</v>
      </c>
      <c r="H22" s="1145"/>
      <c r="I22" s="1">
        <v>12</v>
      </c>
    </row>
    <row r="23" spans="1:9" ht="21" customHeight="1">
      <c r="A23" s="1147" t="s">
        <v>293</v>
      </c>
      <c r="B23" s="2" t="s">
        <v>376</v>
      </c>
      <c r="I23" s="1">
        <v>12</v>
      </c>
    </row>
    <row r="24" spans="1:9" ht="21" customHeight="1">
      <c r="A24" s="1147" t="s">
        <v>294</v>
      </c>
      <c r="B24" s="1260" t="s">
        <v>377</v>
      </c>
      <c r="C24" s="1260"/>
      <c r="D24" s="1260"/>
      <c r="E24" s="1260"/>
      <c r="F24" s="1260"/>
      <c r="G24" s="1260"/>
      <c r="H24" s="1260"/>
      <c r="I24" s="1">
        <v>13</v>
      </c>
    </row>
    <row r="25" spans="1:9" ht="21" customHeight="1">
      <c r="A25" s="1147" t="s">
        <v>295</v>
      </c>
      <c r="B25" s="1260" t="s">
        <v>378</v>
      </c>
      <c r="C25" s="1260"/>
      <c r="D25" s="1260"/>
      <c r="E25" s="1260"/>
      <c r="F25" s="1260"/>
      <c r="G25" s="1260"/>
      <c r="H25" s="1260"/>
      <c r="I25" s="1">
        <v>13</v>
      </c>
    </row>
    <row r="26" spans="1:9" ht="21" customHeight="1">
      <c r="A26" s="1145">
        <v>4.7</v>
      </c>
      <c r="B26" s="1260" t="s">
        <v>379</v>
      </c>
      <c r="C26" s="1260"/>
      <c r="D26" s="1260"/>
      <c r="E26" s="1260"/>
      <c r="F26" s="1260"/>
      <c r="G26" s="1260"/>
      <c r="H26" s="1260"/>
      <c r="I26" s="1">
        <v>14</v>
      </c>
    </row>
    <row r="27" spans="1:9" ht="21" customHeight="1">
      <c r="A27" s="369">
        <v>4.8</v>
      </c>
      <c r="B27" s="1253" t="s">
        <v>405</v>
      </c>
      <c r="C27" s="1253"/>
      <c r="D27" s="1253"/>
      <c r="E27" s="1253"/>
      <c r="F27" s="1253"/>
      <c r="G27" s="1253"/>
      <c r="H27" s="1253"/>
      <c r="I27" s="1">
        <v>15</v>
      </c>
    </row>
    <row r="28" spans="1:9" ht="21" customHeight="1">
      <c r="A28" s="369"/>
      <c r="B28" s="1253" t="s">
        <v>105</v>
      </c>
      <c r="C28" s="1253"/>
      <c r="D28" s="1253"/>
      <c r="E28" s="1149"/>
      <c r="F28" s="1149"/>
      <c r="G28" s="1149"/>
      <c r="H28" s="1149"/>
      <c r="I28" s="1"/>
    </row>
    <row r="29" spans="1:9" ht="21" customHeight="1">
      <c r="A29" s="369">
        <v>4.9</v>
      </c>
      <c r="B29" s="1253" t="s">
        <v>380</v>
      </c>
      <c r="C29" s="1253"/>
      <c r="D29" s="1253"/>
      <c r="E29" s="1253"/>
      <c r="F29" s="1253"/>
      <c r="G29" s="1253"/>
      <c r="H29" s="1253"/>
      <c r="I29" s="1">
        <v>16</v>
      </c>
    </row>
    <row r="30" spans="1:9" ht="21" customHeight="1">
      <c r="A30" s="1147" t="s">
        <v>296</v>
      </c>
      <c r="B30" s="1260" t="s">
        <v>381</v>
      </c>
      <c r="C30" s="1260"/>
      <c r="D30" s="1260"/>
      <c r="E30" s="1260"/>
      <c r="F30" s="1260"/>
      <c r="G30" s="1260"/>
      <c r="H30" s="1260"/>
      <c r="I30" s="1">
        <v>16</v>
      </c>
    </row>
    <row r="31" spans="1:9" ht="21" customHeight="1">
      <c r="A31" s="1145">
        <v>4.11</v>
      </c>
      <c r="B31" s="2" t="s">
        <v>382</v>
      </c>
      <c r="G31" s="1145"/>
      <c r="I31" s="1">
        <v>17</v>
      </c>
    </row>
    <row r="32" spans="1:9" ht="21" customHeight="1">
      <c r="A32" s="1150">
        <v>4.12</v>
      </c>
      <c r="B32" s="2" t="s">
        <v>383</v>
      </c>
      <c r="I32" s="1">
        <v>18</v>
      </c>
    </row>
    <row r="33" spans="1:9" ht="21" customHeight="1">
      <c r="A33" s="1145"/>
      <c r="I33" s="1"/>
    </row>
    <row r="34" spans="1:9" ht="30.75" customHeight="1">
      <c r="A34" s="1145"/>
      <c r="I34" s="1"/>
    </row>
    <row r="35" spans="1:9" ht="21" customHeight="1">
      <c r="A35" s="1146"/>
      <c r="B35" s="1258" t="s">
        <v>297</v>
      </c>
      <c r="C35" s="1259"/>
      <c r="D35" s="1259"/>
      <c r="E35" s="1259"/>
      <c r="F35" s="1259"/>
      <c r="G35" s="1259"/>
      <c r="H35" s="1259"/>
      <c r="I35" s="1"/>
    </row>
    <row r="36" spans="1:9" ht="21" customHeight="1">
      <c r="A36" s="1147" t="s">
        <v>298</v>
      </c>
      <c r="B36" s="2" t="s">
        <v>402</v>
      </c>
      <c r="I36" s="1">
        <v>19</v>
      </c>
    </row>
    <row r="37" spans="1:9" ht="21" customHeight="1">
      <c r="A37" s="1145">
        <v>5.2</v>
      </c>
      <c r="B37" s="1256" t="s">
        <v>384</v>
      </c>
      <c r="C37" s="1256"/>
      <c r="D37" s="1256"/>
      <c r="E37" s="1256"/>
      <c r="F37" s="1256"/>
      <c r="G37" s="1256"/>
      <c r="H37" s="1256"/>
      <c r="I37" s="1">
        <v>19</v>
      </c>
    </row>
    <row r="38" spans="1:9" ht="21" customHeight="1">
      <c r="A38" s="369">
        <v>5.3</v>
      </c>
      <c r="B38" s="1253" t="s">
        <v>385</v>
      </c>
      <c r="C38" s="1253"/>
      <c r="D38" s="1253"/>
      <c r="E38" s="1253"/>
      <c r="F38" s="1253"/>
      <c r="G38" s="1253"/>
      <c r="H38" s="1253"/>
      <c r="I38" s="1">
        <v>20</v>
      </c>
    </row>
    <row r="39" spans="1:9" ht="21" customHeight="1">
      <c r="A39" s="1147" t="s">
        <v>299</v>
      </c>
      <c r="B39" s="2" t="s">
        <v>386</v>
      </c>
      <c r="I39" s="1">
        <v>20</v>
      </c>
    </row>
    <row r="40" spans="1:9" ht="21" customHeight="1">
      <c r="A40" s="1147" t="s">
        <v>300</v>
      </c>
      <c r="B40" s="2" t="s">
        <v>387</v>
      </c>
      <c r="I40" s="1">
        <v>21</v>
      </c>
    </row>
    <row r="41" spans="1:9" ht="21" customHeight="1">
      <c r="A41" s="1147" t="s">
        <v>301</v>
      </c>
      <c r="B41" s="2" t="s">
        <v>388</v>
      </c>
      <c r="I41" s="1">
        <v>21</v>
      </c>
    </row>
    <row r="42" spans="1:9" ht="21" customHeight="1">
      <c r="A42" s="1145">
        <v>5.7</v>
      </c>
      <c r="B42" s="1256" t="s">
        <v>389</v>
      </c>
      <c r="C42" s="1256"/>
      <c r="D42" s="1256"/>
      <c r="E42" s="1256"/>
      <c r="F42" s="1256"/>
      <c r="G42" s="1256"/>
      <c r="H42" s="1256"/>
      <c r="I42" s="1">
        <v>22</v>
      </c>
    </row>
    <row r="43" spans="1:8" ht="21" customHeight="1">
      <c r="A43" s="369">
        <v>5.8</v>
      </c>
      <c r="B43" s="1253" t="s">
        <v>302</v>
      </c>
      <c r="C43" s="1253"/>
      <c r="D43" s="1253"/>
      <c r="E43" s="1253"/>
      <c r="F43" s="1253"/>
      <c r="G43" s="1253"/>
      <c r="H43" s="1253"/>
    </row>
    <row r="44" spans="1:9" ht="21" customHeight="1">
      <c r="A44" s="1148"/>
      <c r="B44" s="1256" t="s">
        <v>390</v>
      </c>
      <c r="C44" s="1256"/>
      <c r="D44" s="1256"/>
      <c r="E44" s="1256"/>
      <c r="F44" s="1256"/>
      <c r="G44" s="1256"/>
      <c r="H44" s="1256"/>
      <c r="I44" s="1">
        <v>23</v>
      </c>
    </row>
    <row r="45" spans="1:9" ht="21" customHeight="1">
      <c r="A45" s="369">
        <v>5.9</v>
      </c>
      <c r="B45" s="1253" t="s">
        <v>391</v>
      </c>
      <c r="C45" s="1253"/>
      <c r="D45" s="1253"/>
      <c r="E45" s="1253"/>
      <c r="F45" s="1253"/>
      <c r="G45" s="1253"/>
      <c r="H45" s="1253"/>
      <c r="I45" s="1">
        <v>24</v>
      </c>
    </row>
    <row r="46" spans="1:9" ht="21" customHeight="1">
      <c r="A46" s="1147" t="s">
        <v>303</v>
      </c>
      <c r="B46" s="2" t="s">
        <v>392</v>
      </c>
      <c r="I46" s="1">
        <v>24</v>
      </c>
    </row>
    <row r="47" spans="1:9" ht="21" customHeight="1">
      <c r="A47" s="369">
        <v>5.11</v>
      </c>
      <c r="B47" s="1253" t="s">
        <v>348</v>
      </c>
      <c r="C47" s="1253"/>
      <c r="D47" s="1253"/>
      <c r="E47" s="1253"/>
      <c r="F47" s="1253"/>
      <c r="G47" s="1253"/>
      <c r="H47" s="1253"/>
      <c r="I47" s="1">
        <v>25</v>
      </c>
    </row>
    <row r="48" spans="1:9" ht="21" customHeight="1">
      <c r="A48" s="1175"/>
      <c r="B48" s="1253" t="s">
        <v>393</v>
      </c>
      <c r="C48" s="1253"/>
      <c r="D48" s="1253"/>
      <c r="E48" s="1149"/>
      <c r="F48" s="1149"/>
      <c r="G48" s="1149"/>
      <c r="H48" s="1149"/>
      <c r="I48" s="1"/>
    </row>
    <row r="49" spans="1:9" ht="21" customHeight="1">
      <c r="A49" s="1150">
        <v>5.12</v>
      </c>
      <c r="B49" s="1253" t="s">
        <v>394</v>
      </c>
      <c r="C49" s="1253"/>
      <c r="D49" s="1253"/>
      <c r="E49" s="1253"/>
      <c r="F49" s="1253"/>
      <c r="G49" s="1253"/>
      <c r="H49" s="1253"/>
      <c r="I49" s="1">
        <v>25</v>
      </c>
    </row>
    <row r="50" spans="1:9" ht="21" customHeight="1">
      <c r="A50" s="1151" t="s">
        <v>304</v>
      </c>
      <c r="B50" s="1261" t="s">
        <v>395</v>
      </c>
      <c r="C50" s="1261"/>
      <c r="D50" s="1261"/>
      <c r="E50" s="1261"/>
      <c r="F50" s="1261"/>
      <c r="G50" s="1261"/>
      <c r="H50" s="1261"/>
      <c r="I50" s="1152">
        <v>26</v>
      </c>
    </row>
    <row r="51" spans="1:9" ht="21" customHeight="1">
      <c r="A51" s="1147" t="s">
        <v>305</v>
      </c>
      <c r="B51" s="1256" t="s">
        <v>396</v>
      </c>
      <c r="C51" s="1256"/>
      <c r="D51" s="1256"/>
      <c r="E51" s="1256"/>
      <c r="F51" s="1256"/>
      <c r="G51" s="1256"/>
      <c r="H51" s="1256"/>
      <c r="I51" s="1">
        <v>26</v>
      </c>
    </row>
    <row r="52" spans="1:9" ht="21" customHeight="1">
      <c r="A52" s="1147" t="s">
        <v>306</v>
      </c>
      <c r="B52" s="1256" t="s">
        <v>397</v>
      </c>
      <c r="C52" s="1256"/>
      <c r="D52" s="1256"/>
      <c r="E52" s="1256"/>
      <c r="F52" s="1256"/>
      <c r="G52" s="1256"/>
      <c r="H52" s="1256"/>
      <c r="I52" s="1">
        <v>27</v>
      </c>
    </row>
    <row r="53" spans="1:8" ht="21" customHeight="1">
      <c r="A53" s="1147" t="s">
        <v>307</v>
      </c>
      <c r="B53" s="1256" t="s">
        <v>308</v>
      </c>
      <c r="C53" s="1256"/>
      <c r="D53" s="1256"/>
      <c r="E53" s="1256"/>
      <c r="F53" s="1256"/>
      <c r="G53" s="1256"/>
      <c r="H53" s="1256"/>
    </row>
    <row r="54" spans="1:9" ht="21" customHeight="1">
      <c r="A54" s="1147"/>
      <c r="B54" s="1145" t="s">
        <v>390</v>
      </c>
      <c r="C54" s="1145"/>
      <c r="D54" s="1145"/>
      <c r="E54" s="1145"/>
      <c r="F54" s="1145"/>
      <c r="G54" s="1145"/>
      <c r="H54" s="1145"/>
      <c r="I54" s="1">
        <v>28</v>
      </c>
    </row>
    <row r="55" spans="1:9" ht="21" customHeight="1">
      <c r="A55" s="1147" t="s">
        <v>309</v>
      </c>
      <c r="B55" s="2" t="s">
        <v>398</v>
      </c>
      <c r="I55" s="1">
        <v>29</v>
      </c>
    </row>
    <row r="56" spans="1:9" ht="21" customHeight="1">
      <c r="A56" s="1147" t="s">
        <v>310</v>
      </c>
      <c r="B56" s="2" t="s">
        <v>399</v>
      </c>
      <c r="I56" s="1">
        <v>29</v>
      </c>
    </row>
    <row r="57" spans="1:8" ht="21" customHeight="1">
      <c r="A57" s="1176" t="s">
        <v>311</v>
      </c>
      <c r="B57" s="1253" t="s">
        <v>346</v>
      </c>
      <c r="C57" s="1253"/>
      <c r="D57" s="1253"/>
      <c r="E57" s="1253"/>
      <c r="F57" s="1253"/>
      <c r="G57" s="1253"/>
      <c r="H57" s="1253"/>
    </row>
    <row r="58" spans="1:9" ht="21" customHeight="1">
      <c r="A58" s="1176"/>
      <c r="B58" s="1253" t="s">
        <v>403</v>
      </c>
      <c r="C58" s="1253"/>
      <c r="D58" s="1149"/>
      <c r="E58" s="1149"/>
      <c r="F58" s="1149"/>
      <c r="G58" s="1149"/>
      <c r="H58" s="1149"/>
      <c r="I58" s="1">
        <v>30</v>
      </c>
    </row>
    <row r="59" spans="1:8" s="3" customFormat="1" ht="21" customHeight="1">
      <c r="A59" s="1176" t="s">
        <v>312</v>
      </c>
      <c r="B59" s="1253" t="s">
        <v>347</v>
      </c>
      <c r="C59" s="1253"/>
      <c r="D59" s="1253"/>
      <c r="E59" s="1253"/>
      <c r="F59" s="1253"/>
      <c r="G59" s="1253"/>
      <c r="H59" s="1253"/>
    </row>
    <row r="60" spans="1:9" s="3" customFormat="1" ht="21" customHeight="1">
      <c r="A60" s="1176"/>
      <c r="B60" s="1253" t="s">
        <v>400</v>
      </c>
      <c r="C60" s="1253"/>
      <c r="D60" s="1253"/>
      <c r="E60" s="1149"/>
      <c r="F60" s="1149"/>
      <c r="G60" s="1149"/>
      <c r="H60" s="1149"/>
      <c r="I60" s="1">
        <v>31</v>
      </c>
    </row>
    <row r="61" spans="1:9" s="3" customFormat="1" ht="21" customHeight="1">
      <c r="A61" s="1176"/>
      <c r="B61" s="1149"/>
      <c r="C61" s="1149"/>
      <c r="D61" s="1149"/>
      <c r="E61" s="1149"/>
      <c r="F61" s="1149"/>
      <c r="G61" s="1149"/>
      <c r="H61" s="1149"/>
      <c r="I61" s="1"/>
    </row>
    <row r="62" spans="1:9" ht="21" customHeight="1">
      <c r="A62" s="1146"/>
      <c r="B62" s="1263" t="s">
        <v>313</v>
      </c>
      <c r="C62" s="1263"/>
      <c r="D62" s="1263"/>
      <c r="E62" s="1263"/>
      <c r="F62" s="1263"/>
      <c r="G62" s="1263"/>
      <c r="H62" s="1263"/>
      <c r="I62" s="1"/>
    </row>
    <row r="63" spans="1:8" ht="21" customHeight="1">
      <c r="A63" s="1149" t="s">
        <v>314</v>
      </c>
      <c r="B63" s="1253" t="s">
        <v>315</v>
      </c>
      <c r="C63" s="1253"/>
      <c r="D63" s="1253"/>
      <c r="E63" s="1253"/>
      <c r="F63" s="1253"/>
      <c r="G63" s="1253"/>
      <c r="H63" s="1253"/>
    </row>
    <row r="64" spans="1:9" ht="21" customHeight="1">
      <c r="A64" s="1153"/>
      <c r="B64" s="1262" t="s">
        <v>317</v>
      </c>
      <c r="C64" s="1262"/>
      <c r="D64" s="1262"/>
      <c r="E64" s="1262"/>
      <c r="F64" s="1262"/>
      <c r="G64" s="1262"/>
      <c r="H64" s="1262"/>
      <c r="I64" s="1">
        <v>32</v>
      </c>
    </row>
    <row r="65" spans="1:9" ht="21" customHeight="1">
      <c r="A65" s="1149" t="s">
        <v>316</v>
      </c>
      <c r="B65" s="1253" t="s">
        <v>315</v>
      </c>
      <c r="C65" s="1253"/>
      <c r="D65" s="1253"/>
      <c r="E65" s="1253"/>
      <c r="F65" s="1253"/>
      <c r="G65" s="1253"/>
      <c r="H65" s="1253"/>
      <c r="I65" s="3"/>
    </row>
    <row r="66" spans="1:9" ht="21" customHeight="1">
      <c r="A66" s="1153"/>
      <c r="B66" s="1262" t="s">
        <v>401</v>
      </c>
      <c r="C66" s="1262"/>
      <c r="D66" s="1262"/>
      <c r="E66" s="1262"/>
      <c r="F66" s="1262"/>
      <c r="G66" s="1262"/>
      <c r="H66" s="1262"/>
      <c r="I66" s="1">
        <v>33</v>
      </c>
    </row>
    <row r="67" spans="1:9" ht="21" customHeight="1">
      <c r="A67" s="1147"/>
      <c r="I67" s="1"/>
    </row>
    <row r="68" spans="1:9" ht="21" customHeight="1">
      <c r="A68" s="1147"/>
      <c r="B68" s="12"/>
      <c r="I68" s="1"/>
    </row>
    <row r="69" ht="14.25" customHeight="1">
      <c r="I69" s="1"/>
    </row>
    <row r="70" spans="1:9" ht="21" customHeight="1">
      <c r="A70" s="1147"/>
      <c r="I70" s="1"/>
    </row>
    <row r="71" ht="14.25" customHeight="1">
      <c r="I71" s="1"/>
    </row>
    <row r="72" spans="1:9" ht="21" customHeight="1">
      <c r="A72" s="1147"/>
      <c r="I72" s="1"/>
    </row>
    <row r="73" ht="14.25" customHeight="1">
      <c r="I73" s="1"/>
    </row>
    <row r="74" spans="1:9" ht="21" customHeight="1">
      <c r="A74" s="1147"/>
      <c r="I74" s="1"/>
    </row>
    <row r="75" spans="1:9" ht="21" customHeight="1">
      <c r="A75" s="1147"/>
      <c r="I75" s="1"/>
    </row>
    <row r="76" spans="1:9" ht="21" customHeight="1">
      <c r="A76" s="1147"/>
      <c r="I76" s="1"/>
    </row>
    <row r="77" spans="1:9" ht="21" customHeight="1">
      <c r="A77" s="1147"/>
      <c r="I77" s="1"/>
    </row>
    <row r="78" spans="1:9" ht="21" customHeight="1">
      <c r="A78" s="1147"/>
      <c r="I78" s="1"/>
    </row>
    <row r="79" ht="14.25" customHeight="1">
      <c r="I79" s="1"/>
    </row>
    <row r="80" spans="1:9" ht="21" customHeight="1">
      <c r="A80" s="1147"/>
      <c r="I80" s="1"/>
    </row>
    <row r="81" ht="14.25" customHeight="1">
      <c r="I81" s="1"/>
    </row>
    <row r="82" spans="1:9" ht="21" customHeight="1">
      <c r="A82" s="1147"/>
      <c r="I82" s="1"/>
    </row>
    <row r="83" ht="14.25" customHeight="1">
      <c r="I83" s="1"/>
    </row>
    <row r="84" spans="1:9" ht="21" customHeight="1">
      <c r="A84" s="1147"/>
      <c r="I84" s="1"/>
    </row>
    <row r="85" spans="1:9" ht="14.25" customHeight="1">
      <c r="A85" s="1147"/>
      <c r="I85" s="1"/>
    </row>
    <row r="86" spans="1:9" ht="21.75" customHeight="1">
      <c r="A86" s="1147"/>
      <c r="I86" s="1"/>
    </row>
    <row r="87" spans="1:9" ht="21.75" customHeight="1">
      <c r="A87" s="1147"/>
      <c r="I87" s="1"/>
    </row>
    <row r="88" ht="14.25" customHeight="1">
      <c r="I88" s="1"/>
    </row>
    <row r="89" spans="1:9" ht="21" customHeight="1">
      <c r="A89" s="1147"/>
      <c r="I89" s="1"/>
    </row>
    <row r="90" spans="1:9" ht="14.25" customHeight="1">
      <c r="A90" s="1147"/>
      <c r="I90" s="1"/>
    </row>
    <row r="91" spans="1:9" ht="21" customHeight="1">
      <c r="A91" s="1147"/>
      <c r="I91" s="1"/>
    </row>
    <row r="92" ht="14.25" customHeight="1">
      <c r="I92" s="1"/>
    </row>
    <row r="93" spans="1:9" ht="21.75" customHeight="1">
      <c r="A93" s="1147"/>
      <c r="I93" s="1"/>
    </row>
    <row r="94" ht="21" customHeight="1">
      <c r="I94" s="1"/>
    </row>
    <row r="95" ht="21" customHeight="1">
      <c r="I95" s="1"/>
    </row>
    <row r="96" ht="15">
      <c r="I96" s="1"/>
    </row>
    <row r="97" ht="15">
      <c r="I97" s="1"/>
    </row>
    <row r="98" ht="15">
      <c r="I98" s="1"/>
    </row>
    <row r="99" ht="15">
      <c r="I99" s="1"/>
    </row>
    <row r="100" ht="15">
      <c r="I100" s="1"/>
    </row>
    <row r="101" ht="15">
      <c r="I101" s="1"/>
    </row>
    <row r="102" ht="15">
      <c r="I102" s="1"/>
    </row>
    <row r="103" ht="15">
      <c r="I103" s="1"/>
    </row>
    <row r="104" ht="15">
      <c r="I104" s="1"/>
    </row>
    <row r="105" ht="15">
      <c r="I105" s="1"/>
    </row>
    <row r="106" ht="15">
      <c r="I106" s="1"/>
    </row>
    <row r="107" ht="15">
      <c r="I107" s="1"/>
    </row>
    <row r="108" ht="15">
      <c r="I108" s="1"/>
    </row>
    <row r="109" ht="15">
      <c r="I109" s="1"/>
    </row>
    <row r="110" ht="15">
      <c r="I110" s="1"/>
    </row>
    <row r="111" ht="15">
      <c r="I111" s="1"/>
    </row>
    <row r="112" ht="15">
      <c r="I112" s="1"/>
    </row>
    <row r="113" ht="15">
      <c r="I113" s="1"/>
    </row>
    <row r="114" ht="15">
      <c r="I114" s="1"/>
    </row>
    <row r="115" ht="15">
      <c r="I115" s="1"/>
    </row>
    <row r="116" ht="15">
      <c r="I116" s="1"/>
    </row>
    <row r="117" ht="15">
      <c r="I117" s="1"/>
    </row>
    <row r="118" ht="15">
      <c r="I118" s="1"/>
    </row>
    <row r="119" ht="15">
      <c r="I119" s="1"/>
    </row>
    <row r="120" ht="15">
      <c r="I120" s="1"/>
    </row>
    <row r="121" ht="15">
      <c r="I121" s="1"/>
    </row>
    <row r="122" ht="15">
      <c r="I122" s="1"/>
    </row>
    <row r="123" ht="15">
      <c r="I123" s="1"/>
    </row>
    <row r="124" ht="15">
      <c r="I124" s="1"/>
    </row>
    <row r="125" ht="15">
      <c r="I125" s="1"/>
    </row>
    <row r="126" ht="15">
      <c r="I126" s="1"/>
    </row>
    <row r="127" ht="15">
      <c r="I127" s="1"/>
    </row>
    <row r="128" ht="15">
      <c r="I128" s="1"/>
    </row>
    <row r="129" ht="15">
      <c r="I129" s="1"/>
    </row>
    <row r="130" ht="15">
      <c r="I130" s="1"/>
    </row>
    <row r="131" ht="15">
      <c r="I131" s="1"/>
    </row>
    <row r="132" ht="15">
      <c r="I132" s="1"/>
    </row>
    <row r="133" ht="15">
      <c r="I133" s="1"/>
    </row>
    <row r="134" ht="15">
      <c r="I134" s="1"/>
    </row>
    <row r="135" ht="15">
      <c r="I135" s="1"/>
    </row>
    <row r="136" ht="15">
      <c r="I136" s="1"/>
    </row>
    <row r="137" ht="15">
      <c r="I137" s="1"/>
    </row>
    <row r="138" ht="15">
      <c r="I138" s="1"/>
    </row>
    <row r="139" ht="15">
      <c r="I139" s="1"/>
    </row>
    <row r="140" ht="15">
      <c r="I140" s="1"/>
    </row>
    <row r="141" ht="15">
      <c r="I141" s="1"/>
    </row>
    <row r="142" ht="15">
      <c r="I142" s="1"/>
    </row>
    <row r="143" ht="15">
      <c r="I143" s="1"/>
    </row>
    <row r="144" ht="15">
      <c r="I144" s="1"/>
    </row>
    <row r="145" ht="15">
      <c r="I145" s="1"/>
    </row>
    <row r="146" ht="15">
      <c r="I146" s="1"/>
    </row>
    <row r="147" ht="15">
      <c r="I147" s="1"/>
    </row>
    <row r="148" ht="15">
      <c r="I148" s="1"/>
    </row>
    <row r="149" ht="15">
      <c r="I149" s="1"/>
    </row>
    <row r="150" ht="15">
      <c r="I150" s="1"/>
    </row>
    <row r="151" ht="15">
      <c r="I151" s="1"/>
    </row>
    <row r="152" ht="15">
      <c r="I152" s="1"/>
    </row>
    <row r="153" ht="15">
      <c r="I153" s="1"/>
    </row>
    <row r="154" ht="15">
      <c r="I154" s="1"/>
    </row>
    <row r="155" ht="15">
      <c r="I155" s="1"/>
    </row>
    <row r="156" ht="15">
      <c r="I156" s="1"/>
    </row>
    <row r="157" ht="15">
      <c r="I157" s="1"/>
    </row>
    <row r="158" ht="15">
      <c r="I158" s="1"/>
    </row>
    <row r="159" ht="15">
      <c r="I159" s="1"/>
    </row>
    <row r="160" ht="15">
      <c r="I160" s="1"/>
    </row>
    <row r="161" ht="15">
      <c r="I161" s="1"/>
    </row>
    <row r="162" ht="15">
      <c r="I162" s="1"/>
    </row>
    <row r="163" ht="15">
      <c r="I163" s="1"/>
    </row>
    <row r="164" ht="15">
      <c r="I164" s="1"/>
    </row>
    <row r="165" ht="15">
      <c r="I165" s="1"/>
    </row>
    <row r="166" ht="15">
      <c r="I166" s="1"/>
    </row>
    <row r="167" ht="15">
      <c r="I167" s="1"/>
    </row>
    <row r="168" ht="15">
      <c r="I168" s="1"/>
    </row>
    <row r="169" ht="15">
      <c r="I169" s="1"/>
    </row>
    <row r="170" ht="15">
      <c r="I170" s="1"/>
    </row>
    <row r="171" ht="15">
      <c r="I171" s="1"/>
    </row>
    <row r="172" ht="15">
      <c r="I172" s="1"/>
    </row>
    <row r="173" ht="15">
      <c r="I173" s="1"/>
    </row>
    <row r="174" ht="15">
      <c r="I174" s="1"/>
    </row>
    <row r="175" ht="15">
      <c r="I175" s="1"/>
    </row>
    <row r="176" ht="15">
      <c r="I176" s="1"/>
    </row>
    <row r="177" ht="15">
      <c r="I177" s="1"/>
    </row>
    <row r="178" ht="15">
      <c r="I178" s="1"/>
    </row>
    <row r="179" ht="15">
      <c r="I179" s="1"/>
    </row>
    <row r="180" ht="15">
      <c r="I180" s="1"/>
    </row>
    <row r="181" ht="15">
      <c r="I181" s="1"/>
    </row>
    <row r="182" ht="15">
      <c r="I182" s="1"/>
    </row>
    <row r="183" ht="15">
      <c r="I183" s="1"/>
    </row>
    <row r="184" ht="15">
      <c r="I184" s="1"/>
    </row>
    <row r="185" ht="15">
      <c r="I185" s="1"/>
    </row>
    <row r="186" ht="15">
      <c r="I186" s="1"/>
    </row>
    <row r="187" ht="15">
      <c r="I187" s="1"/>
    </row>
    <row r="188" ht="15">
      <c r="I188" s="1"/>
    </row>
    <row r="189" ht="15">
      <c r="I189" s="1"/>
    </row>
    <row r="190" ht="15">
      <c r="I190" s="1"/>
    </row>
    <row r="191" ht="15">
      <c r="I191" s="1"/>
    </row>
    <row r="192" ht="15">
      <c r="I192" s="1"/>
    </row>
    <row r="193" ht="15">
      <c r="I193" s="1"/>
    </row>
    <row r="194" ht="15">
      <c r="I194" s="1"/>
    </row>
    <row r="195" ht="15">
      <c r="I195" s="1"/>
    </row>
    <row r="196" ht="15">
      <c r="I196" s="1"/>
    </row>
    <row r="197" ht="15">
      <c r="I197" s="1"/>
    </row>
    <row r="198" ht="15">
      <c r="I198" s="1"/>
    </row>
    <row r="199" ht="15">
      <c r="I199" s="1"/>
    </row>
    <row r="200" ht="15">
      <c r="I200" s="1"/>
    </row>
    <row r="201" ht="15">
      <c r="I201" s="1"/>
    </row>
    <row r="202" ht="15">
      <c r="I202" s="1"/>
    </row>
    <row r="203" ht="15">
      <c r="I203" s="1"/>
    </row>
    <row r="204" ht="15">
      <c r="I204" s="1"/>
    </row>
    <row r="205" ht="15">
      <c r="I205" s="1"/>
    </row>
    <row r="206" ht="15">
      <c r="I206" s="1"/>
    </row>
    <row r="207" ht="15">
      <c r="I207" s="1"/>
    </row>
    <row r="208" ht="15">
      <c r="I208" s="1"/>
    </row>
    <row r="209" ht="15">
      <c r="I209" s="1"/>
    </row>
    <row r="210" ht="15">
      <c r="I210" s="1"/>
    </row>
    <row r="211" ht="15">
      <c r="I211" s="1"/>
    </row>
    <row r="212" ht="15">
      <c r="I212" s="1"/>
    </row>
    <row r="213" ht="15">
      <c r="I213" s="1"/>
    </row>
    <row r="214" ht="15">
      <c r="I214" s="1"/>
    </row>
    <row r="215" ht="15">
      <c r="I215" s="1"/>
    </row>
    <row r="216" ht="15">
      <c r="I216" s="1"/>
    </row>
    <row r="217" ht="15">
      <c r="I217" s="1"/>
    </row>
    <row r="218" ht="15">
      <c r="I218" s="1"/>
    </row>
    <row r="219" ht="15">
      <c r="I219" s="1"/>
    </row>
    <row r="220" ht="15">
      <c r="I220" s="1"/>
    </row>
    <row r="221" ht="15">
      <c r="I221" s="1"/>
    </row>
    <row r="222" ht="15">
      <c r="I222" s="1"/>
    </row>
    <row r="223" ht="15">
      <c r="I223" s="1"/>
    </row>
    <row r="224" ht="15">
      <c r="I224" s="1"/>
    </row>
    <row r="225" ht="15">
      <c r="I225" s="1"/>
    </row>
    <row r="226" ht="15">
      <c r="I226" s="1"/>
    </row>
    <row r="227" ht="15">
      <c r="I227" s="1"/>
    </row>
    <row r="228" ht="15">
      <c r="I228" s="1"/>
    </row>
    <row r="229" ht="15">
      <c r="I229" s="1"/>
    </row>
    <row r="230" ht="15">
      <c r="I230" s="1"/>
    </row>
    <row r="231" ht="15">
      <c r="I231" s="1"/>
    </row>
    <row r="232" ht="15">
      <c r="I232" s="1"/>
    </row>
    <row r="233" ht="15">
      <c r="I233" s="1"/>
    </row>
    <row r="234" ht="15">
      <c r="I234" s="1"/>
    </row>
    <row r="235" ht="15">
      <c r="I235" s="1"/>
    </row>
    <row r="236" ht="15">
      <c r="I236" s="1"/>
    </row>
    <row r="237" ht="15">
      <c r="I237" s="1"/>
    </row>
    <row r="238" ht="15">
      <c r="I238" s="1"/>
    </row>
    <row r="239" ht="15">
      <c r="I239" s="1"/>
    </row>
    <row r="240" ht="15">
      <c r="I240" s="1"/>
    </row>
    <row r="241" ht="15">
      <c r="I241" s="1"/>
    </row>
    <row r="242" ht="15">
      <c r="I242" s="1"/>
    </row>
    <row r="243" ht="15">
      <c r="I243" s="1"/>
    </row>
    <row r="244" ht="15">
      <c r="I244" s="1"/>
    </row>
    <row r="245" ht="15">
      <c r="I245" s="1"/>
    </row>
    <row r="246" ht="15">
      <c r="I246" s="1"/>
    </row>
    <row r="247" ht="15">
      <c r="I247" s="1"/>
    </row>
    <row r="248" ht="15">
      <c r="I248" s="1"/>
    </row>
    <row r="249" ht="15">
      <c r="I249" s="1"/>
    </row>
    <row r="250" ht="15">
      <c r="I250" s="1"/>
    </row>
    <row r="251" ht="15">
      <c r="I251" s="1"/>
    </row>
    <row r="252" ht="15">
      <c r="I252" s="1"/>
    </row>
    <row r="253" ht="15">
      <c r="I253" s="1"/>
    </row>
    <row r="254" ht="15">
      <c r="I254" s="1"/>
    </row>
    <row r="255" ht="15">
      <c r="I255" s="1"/>
    </row>
    <row r="256" ht="15">
      <c r="I256" s="1"/>
    </row>
    <row r="257" ht="15">
      <c r="I257" s="1"/>
    </row>
    <row r="258" ht="15">
      <c r="I258" s="1"/>
    </row>
    <row r="259" ht="15">
      <c r="I259" s="1"/>
    </row>
    <row r="260" ht="15">
      <c r="I260" s="1"/>
    </row>
    <row r="261" ht="15">
      <c r="I261" s="1"/>
    </row>
    <row r="262" ht="15">
      <c r="I262" s="1"/>
    </row>
    <row r="263" ht="15">
      <c r="I263" s="1"/>
    </row>
    <row r="264" ht="15">
      <c r="I264" s="1"/>
    </row>
    <row r="265" ht="15">
      <c r="I265" s="1"/>
    </row>
    <row r="266" ht="15">
      <c r="I266" s="1"/>
    </row>
    <row r="267" ht="15">
      <c r="I267" s="1"/>
    </row>
    <row r="268" ht="15">
      <c r="I268" s="1"/>
    </row>
    <row r="269" ht="15">
      <c r="I269" s="1"/>
    </row>
    <row r="270" ht="15">
      <c r="I270" s="1"/>
    </row>
    <row r="271" ht="15">
      <c r="I271" s="1"/>
    </row>
    <row r="272" ht="15">
      <c r="I272" s="1"/>
    </row>
    <row r="273" ht="15">
      <c r="I273" s="1"/>
    </row>
    <row r="274" ht="15">
      <c r="I274" s="1"/>
    </row>
    <row r="275" ht="15">
      <c r="I275" s="1"/>
    </row>
    <row r="276" ht="15">
      <c r="I276" s="1"/>
    </row>
    <row r="277" ht="15">
      <c r="I277" s="1"/>
    </row>
    <row r="278" ht="15">
      <c r="I278" s="1"/>
    </row>
    <row r="279" ht="15">
      <c r="I279" s="1"/>
    </row>
    <row r="280" ht="15">
      <c r="I280" s="1"/>
    </row>
    <row r="281" ht="15">
      <c r="I281" s="1"/>
    </row>
    <row r="282" ht="15">
      <c r="I282" s="1"/>
    </row>
    <row r="283" ht="15">
      <c r="I283" s="1"/>
    </row>
    <row r="284" ht="15">
      <c r="I284" s="1"/>
    </row>
    <row r="285" ht="15">
      <c r="I285" s="1"/>
    </row>
    <row r="286" ht="15">
      <c r="I286" s="1"/>
    </row>
    <row r="287" ht="15">
      <c r="I287" s="1"/>
    </row>
    <row r="288" ht="15">
      <c r="I288" s="1"/>
    </row>
    <row r="289" ht="15">
      <c r="I289" s="1"/>
    </row>
    <row r="290" ht="15">
      <c r="I290" s="1"/>
    </row>
    <row r="291" ht="15">
      <c r="I291" s="1"/>
    </row>
    <row r="292" ht="15">
      <c r="I292" s="1"/>
    </row>
    <row r="293" ht="15">
      <c r="I293" s="1"/>
    </row>
    <row r="294" ht="15">
      <c r="I294" s="1"/>
    </row>
    <row r="295" ht="15">
      <c r="I295" s="1"/>
    </row>
    <row r="296" ht="15">
      <c r="I296" s="1"/>
    </row>
    <row r="297" ht="15">
      <c r="I297" s="1"/>
    </row>
    <row r="298" ht="15">
      <c r="I298" s="1"/>
    </row>
    <row r="299" ht="15">
      <c r="I299" s="1"/>
    </row>
    <row r="300" ht="15">
      <c r="I300" s="1"/>
    </row>
    <row r="301" ht="15">
      <c r="I301" s="1"/>
    </row>
    <row r="302" ht="15">
      <c r="I302" s="1"/>
    </row>
  </sheetData>
  <sheetProtection/>
  <mergeCells count="44">
    <mergeCell ref="B66:H66"/>
    <mergeCell ref="B62:H62"/>
    <mergeCell ref="B63:H63"/>
    <mergeCell ref="B64:H64"/>
    <mergeCell ref="B65:H65"/>
    <mergeCell ref="B45:H45"/>
    <mergeCell ref="B47:H47"/>
    <mergeCell ref="B53:H53"/>
    <mergeCell ref="B57:H57"/>
    <mergeCell ref="B59:H59"/>
    <mergeCell ref="B49:H49"/>
    <mergeCell ref="B50:H50"/>
    <mergeCell ref="B51:H51"/>
    <mergeCell ref="B52:H52"/>
    <mergeCell ref="B58:C58"/>
    <mergeCell ref="B35:H35"/>
    <mergeCell ref="B37:H37"/>
    <mergeCell ref="B38:H38"/>
    <mergeCell ref="B42:H42"/>
    <mergeCell ref="B43:H43"/>
    <mergeCell ref="B44:H44"/>
    <mergeCell ref="B24:H24"/>
    <mergeCell ref="B25:H25"/>
    <mergeCell ref="B26:H26"/>
    <mergeCell ref="B27:H27"/>
    <mergeCell ref="B29:H29"/>
    <mergeCell ref="B30:H30"/>
    <mergeCell ref="B28:D28"/>
    <mergeCell ref="B10:H10"/>
    <mergeCell ref="B11:H11"/>
    <mergeCell ref="B12:H12"/>
    <mergeCell ref="B13:H13"/>
    <mergeCell ref="B17:H17"/>
    <mergeCell ref="B19:H19"/>
    <mergeCell ref="B60:D60"/>
    <mergeCell ref="B48:D48"/>
    <mergeCell ref="A1:I1"/>
    <mergeCell ref="A2:H3"/>
    <mergeCell ref="B4:H4"/>
    <mergeCell ref="B5:H5"/>
    <mergeCell ref="B6:H6"/>
    <mergeCell ref="B7:H7"/>
    <mergeCell ref="B8:H8"/>
    <mergeCell ref="B9:H9"/>
  </mergeCells>
  <printOptions/>
  <pageMargins left="0.69" right="0.25" top="1" bottom="0.5" header="0.5" footer="0.5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2.57421875" style="259" customWidth="1"/>
    <col min="2" max="2" width="1.7109375" style="259" customWidth="1"/>
    <col min="3" max="3" width="13.140625" style="259" customWidth="1"/>
    <col min="4" max="6" width="13.140625" style="259" hidden="1" customWidth="1"/>
    <col min="7" max="9" width="8.140625" style="259" hidden="1" customWidth="1"/>
    <col min="10" max="15" width="8.140625" style="259" customWidth="1"/>
    <col min="16" max="16384" width="9.140625" style="259" customWidth="1"/>
  </cols>
  <sheetData>
    <row r="1" ht="24" customHeight="1">
      <c r="A1" s="258" t="s">
        <v>411</v>
      </c>
    </row>
    <row r="2" spans="1:6" ht="20.25" customHeight="1">
      <c r="A2" s="1239" t="s">
        <v>105</v>
      </c>
      <c r="C2" s="260"/>
      <c r="D2" s="260"/>
      <c r="E2" s="260"/>
      <c r="F2" s="260"/>
    </row>
    <row r="3" spans="1:18" ht="16.5" customHeight="1">
      <c r="A3" s="1410" t="s">
        <v>101</v>
      </c>
      <c r="B3" s="1411"/>
      <c r="C3" s="1412"/>
      <c r="D3" s="261">
        <v>2005</v>
      </c>
      <c r="E3" s="261"/>
      <c r="F3" s="262"/>
      <c r="G3" s="261">
        <v>2006</v>
      </c>
      <c r="H3" s="261"/>
      <c r="I3" s="262"/>
      <c r="J3" s="1416">
        <v>2007</v>
      </c>
      <c r="K3" s="1417"/>
      <c r="L3" s="1418"/>
      <c r="M3" s="1416">
        <v>2008</v>
      </c>
      <c r="N3" s="1417"/>
      <c r="O3" s="1418"/>
      <c r="P3" s="1416">
        <v>2009</v>
      </c>
      <c r="Q3" s="1417"/>
      <c r="R3" s="1418"/>
    </row>
    <row r="4" spans="1:18" ht="16.5" customHeight="1">
      <c r="A4" s="1413"/>
      <c r="B4" s="1414"/>
      <c r="C4" s="1415"/>
      <c r="D4" s="263" t="s">
        <v>5</v>
      </c>
      <c r="E4" s="263" t="s">
        <v>43</v>
      </c>
      <c r="F4" s="264" t="s">
        <v>44</v>
      </c>
      <c r="G4" s="263" t="s">
        <v>5</v>
      </c>
      <c r="H4" s="263" t="s">
        <v>43</v>
      </c>
      <c r="I4" s="264" t="s">
        <v>44</v>
      </c>
      <c r="J4" s="265" t="s">
        <v>5</v>
      </c>
      <c r="K4" s="266" t="s">
        <v>43</v>
      </c>
      <c r="L4" s="267" t="s">
        <v>44</v>
      </c>
      <c r="M4" s="1172" t="s">
        <v>5</v>
      </c>
      <c r="N4" s="266" t="s">
        <v>43</v>
      </c>
      <c r="O4" s="267" t="s">
        <v>44</v>
      </c>
      <c r="P4" s="1172" t="s">
        <v>5</v>
      </c>
      <c r="Q4" s="266" t="s">
        <v>43</v>
      </c>
      <c r="R4" s="267" t="s">
        <v>44</v>
      </c>
    </row>
    <row r="5" spans="1:18" ht="19.5" customHeight="1">
      <c r="A5" s="268" t="s">
        <v>106</v>
      </c>
      <c r="B5" s="269"/>
      <c r="C5" s="269"/>
      <c r="D5" s="270"/>
      <c r="E5" s="270"/>
      <c r="F5" s="270"/>
      <c r="G5" s="271"/>
      <c r="H5" s="271"/>
      <c r="I5" s="271"/>
      <c r="J5" s="272"/>
      <c r="K5" s="273"/>
      <c r="L5" s="272"/>
      <c r="M5" s="272"/>
      <c r="N5" s="273"/>
      <c r="O5" s="274"/>
      <c r="P5" s="272"/>
      <c r="Q5" s="273"/>
      <c r="R5" s="274"/>
    </row>
    <row r="6" spans="1:18" ht="25.5" customHeight="1">
      <c r="A6" s="275" t="s">
        <v>102</v>
      </c>
      <c r="B6" s="276"/>
      <c r="C6" s="277" t="s">
        <v>87</v>
      </c>
      <c r="D6" s="278">
        <f>SUM(E6:F6)</f>
        <v>19525</v>
      </c>
      <c r="E6" s="279">
        <v>9928</v>
      </c>
      <c r="F6" s="280">
        <v>9597</v>
      </c>
      <c r="G6" s="278">
        <f>SUM(H6:I6)</f>
        <v>19437</v>
      </c>
      <c r="H6" s="279">
        <v>9861</v>
      </c>
      <c r="I6" s="280">
        <v>9576</v>
      </c>
      <c r="J6" s="281">
        <f aca="true" t="shared" si="0" ref="J6:J12">K6+L6</f>
        <v>18831</v>
      </c>
      <c r="K6" s="282">
        <f aca="true" t="shared" si="1" ref="K6:L12">K15+K24</f>
        <v>9465</v>
      </c>
      <c r="L6" s="283">
        <f t="shared" si="1"/>
        <v>9366</v>
      </c>
      <c r="M6" s="289">
        <f aca="true" t="shared" si="2" ref="M6:M12">N6+O6</f>
        <v>19048</v>
      </c>
      <c r="N6" s="282">
        <f>N15+N24</f>
        <v>9587</v>
      </c>
      <c r="O6" s="283">
        <f>O15+O24</f>
        <v>9461</v>
      </c>
      <c r="P6" s="289">
        <f aca="true" t="shared" si="3" ref="P6:P12">Q6+R6</f>
        <v>18613</v>
      </c>
      <c r="Q6" s="282">
        <f aca="true" t="shared" si="4" ref="Q6:R12">Q15+Q24</f>
        <v>9452</v>
      </c>
      <c r="R6" s="283">
        <f t="shared" si="4"/>
        <v>9161</v>
      </c>
    </row>
    <row r="7" spans="1:18" ht="25.5" customHeight="1">
      <c r="A7" s="284"/>
      <c r="B7" s="269"/>
      <c r="C7" s="285" t="s">
        <v>88</v>
      </c>
      <c r="D7" s="286">
        <f aca="true" t="shared" si="5" ref="D7:D12">SUM(E7:F7)</f>
        <v>18578</v>
      </c>
      <c r="E7" s="287">
        <v>9420</v>
      </c>
      <c r="F7" s="288">
        <v>9158</v>
      </c>
      <c r="G7" s="286">
        <f aca="true" t="shared" si="6" ref="G7:G12">SUM(H7:I7)</f>
        <v>19623</v>
      </c>
      <c r="H7" s="287">
        <v>9937</v>
      </c>
      <c r="I7" s="288">
        <v>9686</v>
      </c>
      <c r="J7" s="289">
        <f t="shared" si="0"/>
        <v>19468</v>
      </c>
      <c r="K7" s="290">
        <f t="shared" si="1"/>
        <v>9850</v>
      </c>
      <c r="L7" s="291">
        <f t="shared" si="1"/>
        <v>9618</v>
      </c>
      <c r="M7" s="289">
        <f t="shared" si="2"/>
        <v>18915</v>
      </c>
      <c r="N7" s="290">
        <f aca="true" t="shared" si="7" ref="N7:O12">N16+N25</f>
        <v>9533</v>
      </c>
      <c r="O7" s="291">
        <f t="shared" si="7"/>
        <v>9382</v>
      </c>
      <c r="P7" s="289">
        <f t="shared" si="3"/>
        <v>19121</v>
      </c>
      <c r="Q7" s="290">
        <f t="shared" si="4"/>
        <v>9604</v>
      </c>
      <c r="R7" s="291">
        <f t="shared" si="4"/>
        <v>9517</v>
      </c>
    </row>
    <row r="8" spans="1:18" ht="25.5" customHeight="1">
      <c r="A8" s="284"/>
      <c r="B8" s="269"/>
      <c r="C8" s="285" t="s">
        <v>89</v>
      </c>
      <c r="D8" s="286">
        <f t="shared" si="5"/>
        <v>19179</v>
      </c>
      <c r="E8" s="287">
        <v>9733</v>
      </c>
      <c r="F8" s="288">
        <v>9446</v>
      </c>
      <c r="G8" s="286">
        <f t="shared" si="6"/>
        <v>18600</v>
      </c>
      <c r="H8" s="287">
        <v>9426</v>
      </c>
      <c r="I8" s="288">
        <v>9174</v>
      </c>
      <c r="J8" s="289">
        <f t="shared" si="0"/>
        <v>19548</v>
      </c>
      <c r="K8" s="290">
        <f t="shared" si="1"/>
        <v>9921</v>
      </c>
      <c r="L8" s="291">
        <f t="shared" si="1"/>
        <v>9627</v>
      </c>
      <c r="M8" s="289">
        <f t="shared" si="2"/>
        <v>19425</v>
      </c>
      <c r="N8" s="290">
        <f t="shared" si="7"/>
        <v>9926</v>
      </c>
      <c r="O8" s="291">
        <f t="shared" si="7"/>
        <v>9499</v>
      </c>
      <c r="P8" s="289">
        <f t="shared" si="3"/>
        <v>18955</v>
      </c>
      <c r="Q8" s="290">
        <f t="shared" si="4"/>
        <v>9513</v>
      </c>
      <c r="R8" s="291">
        <f t="shared" si="4"/>
        <v>9442</v>
      </c>
    </row>
    <row r="9" spans="1:18" ht="25.5" customHeight="1">
      <c r="A9" s="284"/>
      <c r="B9" s="269"/>
      <c r="C9" s="285" t="s">
        <v>90</v>
      </c>
      <c r="D9" s="286">
        <f t="shared" si="5"/>
        <v>19716</v>
      </c>
      <c r="E9" s="287">
        <v>9863</v>
      </c>
      <c r="F9" s="288">
        <v>9853</v>
      </c>
      <c r="G9" s="286">
        <f t="shared" si="6"/>
        <v>19105</v>
      </c>
      <c r="H9" s="287">
        <v>9648</v>
      </c>
      <c r="I9" s="288">
        <v>9457</v>
      </c>
      <c r="J9" s="289">
        <f t="shared" si="0"/>
        <v>18522</v>
      </c>
      <c r="K9" s="290">
        <f t="shared" si="1"/>
        <v>9402</v>
      </c>
      <c r="L9" s="291">
        <f t="shared" si="1"/>
        <v>9120</v>
      </c>
      <c r="M9" s="289">
        <f t="shared" si="2"/>
        <v>19488</v>
      </c>
      <c r="N9" s="290">
        <f t="shared" si="7"/>
        <v>9849</v>
      </c>
      <c r="O9" s="291">
        <f t="shared" si="7"/>
        <v>9639</v>
      </c>
      <c r="P9" s="289">
        <f t="shared" si="3"/>
        <v>19329</v>
      </c>
      <c r="Q9" s="290">
        <f t="shared" si="4"/>
        <v>9759</v>
      </c>
      <c r="R9" s="291">
        <f t="shared" si="4"/>
        <v>9570</v>
      </c>
    </row>
    <row r="10" spans="1:18" ht="25.5" customHeight="1">
      <c r="A10" s="284"/>
      <c r="B10" s="269"/>
      <c r="C10" s="285" t="s">
        <v>91</v>
      </c>
      <c r="D10" s="286">
        <f t="shared" si="5"/>
        <v>19798</v>
      </c>
      <c r="E10" s="287">
        <v>9897</v>
      </c>
      <c r="F10" s="288">
        <v>9901</v>
      </c>
      <c r="G10" s="286">
        <f t="shared" si="6"/>
        <v>19683</v>
      </c>
      <c r="H10" s="287">
        <v>9833</v>
      </c>
      <c r="I10" s="288">
        <v>9850</v>
      </c>
      <c r="J10" s="289">
        <f t="shared" si="0"/>
        <v>19044</v>
      </c>
      <c r="K10" s="290">
        <f t="shared" si="1"/>
        <v>9627</v>
      </c>
      <c r="L10" s="291">
        <f t="shared" si="1"/>
        <v>9417</v>
      </c>
      <c r="M10" s="289">
        <f t="shared" si="2"/>
        <v>18487</v>
      </c>
      <c r="N10" s="290">
        <f t="shared" si="7"/>
        <v>9416</v>
      </c>
      <c r="O10" s="291">
        <f t="shared" si="7"/>
        <v>9071</v>
      </c>
      <c r="P10" s="289">
        <f t="shared" si="3"/>
        <v>19310</v>
      </c>
      <c r="Q10" s="290">
        <f t="shared" si="4"/>
        <v>9805</v>
      </c>
      <c r="R10" s="291">
        <f t="shared" si="4"/>
        <v>9505</v>
      </c>
    </row>
    <row r="11" spans="1:18" ht="25.5" customHeight="1">
      <c r="A11" s="284"/>
      <c r="B11" s="269"/>
      <c r="C11" s="285" t="s">
        <v>92</v>
      </c>
      <c r="D11" s="286">
        <f t="shared" si="5"/>
        <v>20801</v>
      </c>
      <c r="E11" s="287">
        <v>10480</v>
      </c>
      <c r="F11" s="288">
        <v>10321</v>
      </c>
      <c r="G11" s="286">
        <f t="shared" si="6"/>
        <v>19568</v>
      </c>
      <c r="H11" s="287">
        <v>9766</v>
      </c>
      <c r="I11" s="288">
        <v>9802</v>
      </c>
      <c r="J11" s="289">
        <f t="shared" si="0"/>
        <v>19456</v>
      </c>
      <c r="K11" s="290">
        <f t="shared" si="1"/>
        <v>9715</v>
      </c>
      <c r="L11" s="291">
        <f t="shared" si="1"/>
        <v>9741</v>
      </c>
      <c r="M11" s="289">
        <f t="shared" si="2"/>
        <v>18901</v>
      </c>
      <c r="N11" s="290">
        <f t="shared" si="7"/>
        <v>9570</v>
      </c>
      <c r="O11" s="291">
        <f t="shared" si="7"/>
        <v>9331</v>
      </c>
      <c r="P11" s="289">
        <f t="shared" si="3"/>
        <v>18282</v>
      </c>
      <c r="Q11" s="290">
        <f t="shared" si="4"/>
        <v>9250</v>
      </c>
      <c r="R11" s="291">
        <f t="shared" si="4"/>
        <v>9032</v>
      </c>
    </row>
    <row r="12" spans="1:18" ht="25.5" customHeight="1">
      <c r="A12" s="284"/>
      <c r="B12" s="292"/>
      <c r="C12" s="293" t="s">
        <v>107</v>
      </c>
      <c r="D12" s="287">
        <f t="shared" si="5"/>
        <v>5965</v>
      </c>
      <c r="E12" s="294">
        <v>3408</v>
      </c>
      <c r="F12" s="288">
        <v>2557</v>
      </c>
      <c r="G12" s="287">
        <f t="shared" si="6"/>
        <v>5371</v>
      </c>
      <c r="H12" s="294">
        <v>3216</v>
      </c>
      <c r="I12" s="288">
        <v>2155</v>
      </c>
      <c r="J12" s="289">
        <f t="shared" si="0"/>
        <v>4441</v>
      </c>
      <c r="K12" s="290">
        <f t="shared" si="1"/>
        <v>2661</v>
      </c>
      <c r="L12" s="291">
        <f t="shared" si="1"/>
        <v>1780</v>
      </c>
      <c r="M12" s="289">
        <f t="shared" si="2"/>
        <v>4758</v>
      </c>
      <c r="N12" s="290">
        <f t="shared" si="7"/>
        <v>2812</v>
      </c>
      <c r="O12" s="291">
        <f t="shared" si="7"/>
        <v>1946</v>
      </c>
      <c r="P12" s="289">
        <f t="shared" si="3"/>
        <v>4312</v>
      </c>
      <c r="Q12" s="290">
        <f t="shared" si="4"/>
        <v>2565</v>
      </c>
      <c r="R12" s="291">
        <f t="shared" si="4"/>
        <v>1747</v>
      </c>
    </row>
    <row r="13" spans="1:18" ht="25.5" customHeight="1">
      <c r="A13" s="295" t="s">
        <v>5</v>
      </c>
      <c r="B13" s="296"/>
      <c r="C13" s="297"/>
      <c r="D13" s="298">
        <f aca="true" t="shared" si="8" ref="D13:O13">SUM(D6:D12)</f>
        <v>123562</v>
      </c>
      <c r="E13" s="298">
        <f t="shared" si="8"/>
        <v>62729</v>
      </c>
      <c r="F13" s="299">
        <f t="shared" si="8"/>
        <v>60833</v>
      </c>
      <c r="G13" s="298">
        <f t="shared" si="8"/>
        <v>121387</v>
      </c>
      <c r="H13" s="298">
        <f t="shared" si="8"/>
        <v>61687</v>
      </c>
      <c r="I13" s="299">
        <f t="shared" si="8"/>
        <v>59700</v>
      </c>
      <c r="J13" s="300">
        <f t="shared" si="8"/>
        <v>119310</v>
      </c>
      <c r="K13" s="301">
        <f t="shared" si="8"/>
        <v>60641</v>
      </c>
      <c r="L13" s="302">
        <f t="shared" si="8"/>
        <v>58669</v>
      </c>
      <c r="M13" s="281">
        <f t="shared" si="8"/>
        <v>119022</v>
      </c>
      <c r="N13" s="301">
        <f t="shared" si="8"/>
        <v>60693</v>
      </c>
      <c r="O13" s="302">
        <f t="shared" si="8"/>
        <v>58329</v>
      </c>
      <c r="P13" s="281">
        <f>SUM(P6:P12)</f>
        <v>117922</v>
      </c>
      <c r="Q13" s="301">
        <f>SUM(Q6:Q12)</f>
        <v>59948</v>
      </c>
      <c r="R13" s="302">
        <f>SUM(R6:R12)</f>
        <v>57974</v>
      </c>
    </row>
    <row r="14" spans="1:18" ht="27" customHeight="1">
      <c r="A14" s="303" t="s">
        <v>108</v>
      </c>
      <c r="B14" s="276"/>
      <c r="C14" s="304"/>
      <c r="D14" s="261"/>
      <c r="E14" s="261"/>
      <c r="F14" s="261"/>
      <c r="G14" s="305"/>
      <c r="H14" s="306"/>
      <c r="I14" s="261"/>
      <c r="J14" s="307"/>
      <c r="K14" s="308"/>
      <c r="L14" s="307"/>
      <c r="M14" s="307"/>
      <c r="N14" s="308"/>
      <c r="O14" s="309"/>
      <c r="P14" s="307"/>
      <c r="Q14" s="308"/>
      <c r="R14" s="309"/>
    </row>
    <row r="15" spans="1:18" ht="25.5" customHeight="1">
      <c r="A15" s="275" t="s">
        <v>102</v>
      </c>
      <c r="B15" s="276"/>
      <c r="C15" s="277" t="s">
        <v>87</v>
      </c>
      <c r="D15" s="278">
        <f aca="true" t="shared" si="9" ref="D15:D21">SUM(E15:F15)</f>
        <v>14502</v>
      </c>
      <c r="E15" s="278">
        <v>7408</v>
      </c>
      <c r="F15" s="280">
        <v>7094</v>
      </c>
      <c r="G15" s="278">
        <f aca="true" t="shared" si="10" ref="G15:G21">SUM(H15:I15)</f>
        <v>14299</v>
      </c>
      <c r="H15" s="278">
        <v>7286</v>
      </c>
      <c r="I15" s="280">
        <v>7013</v>
      </c>
      <c r="J15" s="281">
        <f aca="true" t="shared" si="11" ref="J15:J21">K15+L15</f>
        <v>13758</v>
      </c>
      <c r="K15" s="282">
        <v>6984</v>
      </c>
      <c r="L15" s="283">
        <v>6774</v>
      </c>
      <c r="M15" s="289">
        <f aca="true" t="shared" si="12" ref="M15:M21">N15+O15</f>
        <v>13963</v>
      </c>
      <c r="N15" s="282">
        <v>7021</v>
      </c>
      <c r="O15" s="283">
        <v>6942</v>
      </c>
      <c r="P15" s="289">
        <f aca="true" t="shared" si="13" ref="P15:P21">Q15+R15</f>
        <v>13331</v>
      </c>
      <c r="Q15" s="282">
        <v>6783</v>
      </c>
      <c r="R15" s="283">
        <v>6548</v>
      </c>
    </row>
    <row r="16" spans="1:18" ht="25.5" customHeight="1">
      <c r="A16" s="284"/>
      <c r="B16" s="269"/>
      <c r="C16" s="285" t="s">
        <v>88</v>
      </c>
      <c r="D16" s="287">
        <f t="shared" si="9"/>
        <v>13660</v>
      </c>
      <c r="E16" s="287">
        <v>6968</v>
      </c>
      <c r="F16" s="288">
        <v>6692</v>
      </c>
      <c r="G16" s="287">
        <f t="shared" si="10"/>
        <v>14423</v>
      </c>
      <c r="H16" s="287">
        <v>7327</v>
      </c>
      <c r="I16" s="288">
        <v>7096</v>
      </c>
      <c r="J16" s="289">
        <f t="shared" si="11"/>
        <v>14199</v>
      </c>
      <c r="K16" s="290">
        <v>7205</v>
      </c>
      <c r="L16" s="291">
        <v>6994</v>
      </c>
      <c r="M16" s="289">
        <f t="shared" si="12"/>
        <v>13698</v>
      </c>
      <c r="N16" s="290">
        <v>6951</v>
      </c>
      <c r="O16" s="291">
        <v>6747</v>
      </c>
      <c r="P16" s="289">
        <f t="shared" si="13"/>
        <v>13870</v>
      </c>
      <c r="Q16" s="290">
        <v>6968</v>
      </c>
      <c r="R16" s="291">
        <v>6902</v>
      </c>
    </row>
    <row r="17" spans="1:18" ht="25.5" customHeight="1">
      <c r="A17" s="284"/>
      <c r="B17" s="269"/>
      <c r="C17" s="285" t="s">
        <v>89</v>
      </c>
      <c r="D17" s="287">
        <f t="shared" si="9"/>
        <v>14262</v>
      </c>
      <c r="E17" s="287">
        <v>7282</v>
      </c>
      <c r="F17" s="288">
        <v>6980</v>
      </c>
      <c r="G17" s="287">
        <f t="shared" si="10"/>
        <v>13624</v>
      </c>
      <c r="H17" s="287">
        <v>6943</v>
      </c>
      <c r="I17" s="288">
        <v>6681</v>
      </c>
      <c r="J17" s="289">
        <f t="shared" si="11"/>
        <v>14351</v>
      </c>
      <c r="K17" s="290">
        <v>7292</v>
      </c>
      <c r="L17" s="291">
        <v>7059</v>
      </c>
      <c r="M17" s="289">
        <f t="shared" si="12"/>
        <v>14120</v>
      </c>
      <c r="N17" s="290">
        <v>7251</v>
      </c>
      <c r="O17" s="291">
        <v>6869</v>
      </c>
      <c r="P17" s="289">
        <f t="shared" si="13"/>
        <v>13693</v>
      </c>
      <c r="Q17" s="290">
        <v>6937</v>
      </c>
      <c r="R17" s="291">
        <v>6756</v>
      </c>
    </row>
    <row r="18" spans="1:18" ht="25.5" customHeight="1">
      <c r="A18" s="284"/>
      <c r="B18" s="269"/>
      <c r="C18" s="285" t="s">
        <v>90</v>
      </c>
      <c r="D18" s="287">
        <f t="shared" si="9"/>
        <v>14819</v>
      </c>
      <c r="E18" s="287">
        <v>7430</v>
      </c>
      <c r="F18" s="288">
        <v>7389</v>
      </c>
      <c r="G18" s="287">
        <f t="shared" si="10"/>
        <v>14174</v>
      </c>
      <c r="H18" s="287">
        <v>7213</v>
      </c>
      <c r="I18" s="288">
        <v>6961</v>
      </c>
      <c r="J18" s="289">
        <f t="shared" si="11"/>
        <v>13562</v>
      </c>
      <c r="K18" s="290">
        <v>6913</v>
      </c>
      <c r="L18" s="291">
        <v>6649</v>
      </c>
      <c r="M18" s="289">
        <f t="shared" si="12"/>
        <v>14248</v>
      </c>
      <c r="N18" s="290">
        <v>7219</v>
      </c>
      <c r="O18" s="291">
        <v>7029</v>
      </c>
      <c r="P18" s="289">
        <f t="shared" si="13"/>
        <v>14048</v>
      </c>
      <c r="Q18" s="290">
        <v>7090</v>
      </c>
      <c r="R18" s="291">
        <v>6958</v>
      </c>
    </row>
    <row r="19" spans="1:18" ht="25.5" customHeight="1">
      <c r="A19" s="284"/>
      <c r="B19" s="269"/>
      <c r="C19" s="285" t="s">
        <v>91</v>
      </c>
      <c r="D19" s="287">
        <f t="shared" si="9"/>
        <v>14761</v>
      </c>
      <c r="E19" s="287">
        <v>7442</v>
      </c>
      <c r="F19" s="288">
        <v>7319</v>
      </c>
      <c r="G19" s="287">
        <f t="shared" si="10"/>
        <v>14727</v>
      </c>
      <c r="H19" s="287">
        <v>7362</v>
      </c>
      <c r="I19" s="288">
        <v>7365</v>
      </c>
      <c r="J19" s="289">
        <f t="shared" si="11"/>
        <v>14100</v>
      </c>
      <c r="K19" s="290">
        <v>7190</v>
      </c>
      <c r="L19" s="291">
        <v>6910</v>
      </c>
      <c r="M19" s="289">
        <f t="shared" si="12"/>
        <v>13555</v>
      </c>
      <c r="N19" s="290">
        <v>6934</v>
      </c>
      <c r="O19" s="291">
        <v>6621</v>
      </c>
      <c r="P19" s="289">
        <f t="shared" si="13"/>
        <v>14146</v>
      </c>
      <c r="Q19" s="290">
        <v>7218</v>
      </c>
      <c r="R19" s="291">
        <v>6928</v>
      </c>
    </row>
    <row r="20" spans="1:18" ht="25.5" customHeight="1">
      <c r="A20" s="284"/>
      <c r="B20" s="269"/>
      <c r="C20" s="285" t="s">
        <v>92</v>
      </c>
      <c r="D20" s="287">
        <f t="shared" si="9"/>
        <v>15809</v>
      </c>
      <c r="E20" s="287">
        <v>8010</v>
      </c>
      <c r="F20" s="288">
        <v>7799</v>
      </c>
      <c r="G20" s="287">
        <f t="shared" si="10"/>
        <v>14671</v>
      </c>
      <c r="H20" s="287">
        <v>7382</v>
      </c>
      <c r="I20" s="288">
        <v>7289</v>
      </c>
      <c r="J20" s="289">
        <f t="shared" si="11"/>
        <v>14650</v>
      </c>
      <c r="K20" s="290">
        <v>7332</v>
      </c>
      <c r="L20" s="291">
        <v>7318</v>
      </c>
      <c r="M20" s="289">
        <f t="shared" si="12"/>
        <v>14023</v>
      </c>
      <c r="N20" s="290">
        <v>7151</v>
      </c>
      <c r="O20" s="291">
        <v>6872</v>
      </c>
      <c r="P20" s="289">
        <f t="shared" si="13"/>
        <v>13408</v>
      </c>
      <c r="Q20" s="290">
        <v>6796</v>
      </c>
      <c r="R20" s="291">
        <v>6612</v>
      </c>
    </row>
    <row r="21" spans="1:18" ht="25.5" customHeight="1">
      <c r="A21" s="310"/>
      <c r="B21" s="311"/>
      <c r="C21" s="293" t="s">
        <v>107</v>
      </c>
      <c r="D21" s="287">
        <f t="shared" si="9"/>
        <v>4777</v>
      </c>
      <c r="E21" s="287">
        <v>2686</v>
      </c>
      <c r="F21" s="288">
        <v>2091</v>
      </c>
      <c r="G21" s="287">
        <f t="shared" si="10"/>
        <v>4363</v>
      </c>
      <c r="H21" s="287">
        <v>2583</v>
      </c>
      <c r="I21" s="288">
        <v>1780</v>
      </c>
      <c r="J21" s="289">
        <f t="shared" si="11"/>
        <v>3532</v>
      </c>
      <c r="K21" s="290">
        <v>2105</v>
      </c>
      <c r="L21" s="291">
        <v>1427</v>
      </c>
      <c r="M21" s="289">
        <f t="shared" si="12"/>
        <v>3830</v>
      </c>
      <c r="N21" s="290">
        <v>2252</v>
      </c>
      <c r="O21" s="291">
        <v>1578</v>
      </c>
      <c r="P21" s="289">
        <f t="shared" si="13"/>
        <v>3301</v>
      </c>
      <c r="Q21" s="290">
        <v>1949</v>
      </c>
      <c r="R21" s="291">
        <v>1352</v>
      </c>
    </row>
    <row r="22" spans="1:18" ht="25.5" customHeight="1">
      <c r="A22" s="295" t="s">
        <v>5</v>
      </c>
      <c r="B22" s="296"/>
      <c r="C22" s="297"/>
      <c r="D22" s="298">
        <f aca="true" t="shared" si="14" ref="D22:O22">SUM(D15:D21)</f>
        <v>92590</v>
      </c>
      <c r="E22" s="298">
        <f t="shared" si="14"/>
        <v>47226</v>
      </c>
      <c r="F22" s="299">
        <f t="shared" si="14"/>
        <v>45364</v>
      </c>
      <c r="G22" s="298">
        <f t="shared" si="14"/>
        <v>90281</v>
      </c>
      <c r="H22" s="298">
        <f t="shared" si="14"/>
        <v>46096</v>
      </c>
      <c r="I22" s="299">
        <f t="shared" si="14"/>
        <v>44185</v>
      </c>
      <c r="J22" s="300">
        <f t="shared" si="14"/>
        <v>88152</v>
      </c>
      <c r="K22" s="301">
        <f t="shared" si="14"/>
        <v>45021</v>
      </c>
      <c r="L22" s="302">
        <f t="shared" si="14"/>
        <v>43131</v>
      </c>
      <c r="M22" s="281">
        <f t="shared" si="14"/>
        <v>87437</v>
      </c>
      <c r="N22" s="301">
        <f t="shared" si="14"/>
        <v>44779</v>
      </c>
      <c r="O22" s="302">
        <f t="shared" si="14"/>
        <v>42658</v>
      </c>
      <c r="P22" s="281">
        <f>SUM(P15:P21)</f>
        <v>85797</v>
      </c>
      <c r="Q22" s="301">
        <f>SUM(Q15:Q21)</f>
        <v>43741</v>
      </c>
      <c r="R22" s="302">
        <f>SUM(R15:R21)</f>
        <v>42056</v>
      </c>
    </row>
    <row r="23" spans="1:18" ht="27" customHeight="1">
      <c r="A23" s="312" t="s">
        <v>109</v>
      </c>
      <c r="B23" s="272"/>
      <c r="C23" s="272"/>
      <c r="D23" s="270"/>
      <c r="E23" s="270"/>
      <c r="F23" s="270"/>
      <c r="G23" s="270"/>
      <c r="H23" s="270"/>
      <c r="I23" s="270"/>
      <c r="J23" s="307"/>
      <c r="K23" s="308"/>
      <c r="L23" s="307"/>
      <c r="M23" s="307"/>
      <c r="N23" s="308"/>
      <c r="O23" s="309"/>
      <c r="P23" s="307"/>
      <c r="Q23" s="308"/>
      <c r="R23" s="309"/>
    </row>
    <row r="24" spans="1:18" ht="25.5" customHeight="1">
      <c r="A24" s="275" t="s">
        <v>102</v>
      </c>
      <c r="B24" s="276"/>
      <c r="C24" s="277" t="s">
        <v>87</v>
      </c>
      <c r="D24" s="287">
        <f aca="true" t="shared" si="15" ref="D24:D30">SUM(E24:F24)</f>
        <v>5023</v>
      </c>
      <c r="E24" s="313">
        <f aca="true" t="shared" si="16" ref="E24:F30">E6-E15</f>
        <v>2520</v>
      </c>
      <c r="F24" s="314">
        <f t="shared" si="16"/>
        <v>2503</v>
      </c>
      <c r="G24" s="287">
        <f aca="true" t="shared" si="17" ref="G24:G30">SUM(H24:I24)</f>
        <v>5138</v>
      </c>
      <c r="H24" s="313">
        <f aca="true" t="shared" si="18" ref="H24:I30">H6-H15</f>
        <v>2575</v>
      </c>
      <c r="I24" s="314">
        <f t="shared" si="18"/>
        <v>2563</v>
      </c>
      <c r="J24" s="281">
        <f aca="true" t="shared" si="19" ref="J24:J30">K24+L24</f>
        <v>5073</v>
      </c>
      <c r="K24" s="282">
        <v>2481</v>
      </c>
      <c r="L24" s="283">
        <v>2592</v>
      </c>
      <c r="M24" s="289">
        <f aca="true" t="shared" si="20" ref="M24:M30">N24+O24</f>
        <v>5085</v>
      </c>
      <c r="N24" s="282">
        <v>2566</v>
      </c>
      <c r="O24" s="283">
        <v>2519</v>
      </c>
      <c r="P24" s="289">
        <f aca="true" t="shared" si="21" ref="P24:P30">Q24+R24</f>
        <v>5282</v>
      </c>
      <c r="Q24" s="282">
        <v>2669</v>
      </c>
      <c r="R24" s="283">
        <v>2613</v>
      </c>
    </row>
    <row r="25" spans="1:18" ht="25.5" customHeight="1">
      <c r="A25" s="284"/>
      <c r="B25" s="269"/>
      <c r="C25" s="285" t="s">
        <v>88</v>
      </c>
      <c r="D25" s="287">
        <f t="shared" si="15"/>
        <v>4918</v>
      </c>
      <c r="E25" s="313">
        <f t="shared" si="16"/>
        <v>2452</v>
      </c>
      <c r="F25" s="315">
        <f t="shared" si="16"/>
        <v>2466</v>
      </c>
      <c r="G25" s="287">
        <f t="shared" si="17"/>
        <v>5200</v>
      </c>
      <c r="H25" s="313">
        <f t="shared" si="18"/>
        <v>2610</v>
      </c>
      <c r="I25" s="315">
        <f t="shared" si="18"/>
        <v>2590</v>
      </c>
      <c r="J25" s="289">
        <f t="shared" si="19"/>
        <v>5269</v>
      </c>
      <c r="K25" s="290">
        <v>2645</v>
      </c>
      <c r="L25" s="291">
        <v>2624</v>
      </c>
      <c r="M25" s="289">
        <f t="shared" si="20"/>
        <v>5217</v>
      </c>
      <c r="N25" s="290">
        <v>2582</v>
      </c>
      <c r="O25" s="291">
        <v>2635</v>
      </c>
      <c r="P25" s="289">
        <f t="shared" si="21"/>
        <v>5251</v>
      </c>
      <c r="Q25" s="290">
        <v>2636</v>
      </c>
      <c r="R25" s="291">
        <v>2615</v>
      </c>
    </row>
    <row r="26" spans="1:18" ht="25.5" customHeight="1">
      <c r="A26" s="284"/>
      <c r="B26" s="269"/>
      <c r="C26" s="285" t="s">
        <v>89</v>
      </c>
      <c r="D26" s="287">
        <f t="shared" si="15"/>
        <v>4917</v>
      </c>
      <c r="E26" s="313">
        <f t="shared" si="16"/>
        <v>2451</v>
      </c>
      <c r="F26" s="315">
        <f t="shared" si="16"/>
        <v>2466</v>
      </c>
      <c r="G26" s="287">
        <f t="shared" si="17"/>
        <v>4976</v>
      </c>
      <c r="H26" s="313">
        <f t="shared" si="18"/>
        <v>2483</v>
      </c>
      <c r="I26" s="315">
        <f t="shared" si="18"/>
        <v>2493</v>
      </c>
      <c r="J26" s="289">
        <f t="shared" si="19"/>
        <v>5197</v>
      </c>
      <c r="K26" s="290">
        <v>2629</v>
      </c>
      <c r="L26" s="291">
        <v>2568</v>
      </c>
      <c r="M26" s="289">
        <f t="shared" si="20"/>
        <v>5305</v>
      </c>
      <c r="N26" s="290">
        <v>2675</v>
      </c>
      <c r="O26" s="291">
        <v>2630</v>
      </c>
      <c r="P26" s="289">
        <f t="shared" si="21"/>
        <v>5262</v>
      </c>
      <c r="Q26" s="290">
        <v>2576</v>
      </c>
      <c r="R26" s="291">
        <v>2686</v>
      </c>
    </row>
    <row r="27" spans="1:18" ht="25.5" customHeight="1">
      <c r="A27" s="284"/>
      <c r="B27" s="269"/>
      <c r="C27" s="285" t="s">
        <v>90</v>
      </c>
      <c r="D27" s="287">
        <f t="shared" si="15"/>
        <v>4897</v>
      </c>
      <c r="E27" s="313">
        <f t="shared" si="16"/>
        <v>2433</v>
      </c>
      <c r="F27" s="315">
        <f t="shared" si="16"/>
        <v>2464</v>
      </c>
      <c r="G27" s="287">
        <f t="shared" si="17"/>
        <v>4931</v>
      </c>
      <c r="H27" s="313">
        <f t="shared" si="18"/>
        <v>2435</v>
      </c>
      <c r="I27" s="315">
        <f t="shared" si="18"/>
        <v>2496</v>
      </c>
      <c r="J27" s="289">
        <f t="shared" si="19"/>
        <v>4960</v>
      </c>
      <c r="K27" s="290">
        <v>2489</v>
      </c>
      <c r="L27" s="291">
        <v>2471</v>
      </c>
      <c r="M27" s="289">
        <f t="shared" si="20"/>
        <v>5240</v>
      </c>
      <c r="N27" s="290">
        <v>2630</v>
      </c>
      <c r="O27" s="291">
        <v>2610</v>
      </c>
      <c r="P27" s="289">
        <f t="shared" si="21"/>
        <v>5281</v>
      </c>
      <c r="Q27" s="290">
        <v>2669</v>
      </c>
      <c r="R27" s="291">
        <v>2612</v>
      </c>
    </row>
    <row r="28" spans="1:18" ht="25.5" customHeight="1">
      <c r="A28" s="284"/>
      <c r="B28" s="269"/>
      <c r="C28" s="285" t="s">
        <v>91</v>
      </c>
      <c r="D28" s="287">
        <f t="shared" si="15"/>
        <v>5037</v>
      </c>
      <c r="E28" s="313">
        <f t="shared" si="16"/>
        <v>2455</v>
      </c>
      <c r="F28" s="315">
        <f t="shared" si="16"/>
        <v>2582</v>
      </c>
      <c r="G28" s="287">
        <f t="shared" si="17"/>
        <v>4956</v>
      </c>
      <c r="H28" s="313">
        <f t="shared" si="18"/>
        <v>2471</v>
      </c>
      <c r="I28" s="315">
        <f t="shared" si="18"/>
        <v>2485</v>
      </c>
      <c r="J28" s="289">
        <f t="shared" si="19"/>
        <v>4944</v>
      </c>
      <c r="K28" s="290">
        <v>2437</v>
      </c>
      <c r="L28" s="291">
        <v>2507</v>
      </c>
      <c r="M28" s="289">
        <f t="shared" si="20"/>
        <v>4932</v>
      </c>
      <c r="N28" s="290">
        <v>2482</v>
      </c>
      <c r="O28" s="291">
        <v>2450</v>
      </c>
      <c r="P28" s="289">
        <f t="shared" si="21"/>
        <v>5164</v>
      </c>
      <c r="Q28" s="290">
        <v>2587</v>
      </c>
      <c r="R28" s="291">
        <v>2577</v>
      </c>
    </row>
    <row r="29" spans="1:18" ht="25.5" customHeight="1">
      <c r="A29" s="284"/>
      <c r="B29" s="269"/>
      <c r="C29" s="285" t="s">
        <v>92</v>
      </c>
      <c r="D29" s="287">
        <f t="shared" si="15"/>
        <v>4992</v>
      </c>
      <c r="E29" s="313">
        <f t="shared" si="16"/>
        <v>2470</v>
      </c>
      <c r="F29" s="315">
        <f t="shared" si="16"/>
        <v>2522</v>
      </c>
      <c r="G29" s="287">
        <f t="shared" si="17"/>
        <v>4897</v>
      </c>
      <c r="H29" s="313">
        <f t="shared" si="18"/>
        <v>2384</v>
      </c>
      <c r="I29" s="315">
        <f t="shared" si="18"/>
        <v>2513</v>
      </c>
      <c r="J29" s="289">
        <f t="shared" si="19"/>
        <v>4806</v>
      </c>
      <c r="K29" s="290">
        <v>2383</v>
      </c>
      <c r="L29" s="291">
        <v>2423</v>
      </c>
      <c r="M29" s="289">
        <f t="shared" si="20"/>
        <v>4878</v>
      </c>
      <c r="N29" s="290">
        <v>2419</v>
      </c>
      <c r="O29" s="291">
        <v>2459</v>
      </c>
      <c r="P29" s="289">
        <f t="shared" si="21"/>
        <v>4874</v>
      </c>
      <c r="Q29" s="290">
        <v>2454</v>
      </c>
      <c r="R29" s="291">
        <v>2420</v>
      </c>
    </row>
    <row r="30" spans="1:18" ht="25.5" customHeight="1">
      <c r="A30" s="284"/>
      <c r="B30" s="292"/>
      <c r="C30" s="293" t="s">
        <v>107</v>
      </c>
      <c r="D30" s="287">
        <f t="shared" si="15"/>
        <v>1188</v>
      </c>
      <c r="E30" s="313">
        <f t="shared" si="16"/>
        <v>722</v>
      </c>
      <c r="F30" s="315">
        <f t="shared" si="16"/>
        <v>466</v>
      </c>
      <c r="G30" s="287">
        <f t="shared" si="17"/>
        <v>1008</v>
      </c>
      <c r="H30" s="313">
        <f t="shared" si="18"/>
        <v>633</v>
      </c>
      <c r="I30" s="315">
        <f t="shared" si="18"/>
        <v>375</v>
      </c>
      <c r="J30" s="289">
        <f t="shared" si="19"/>
        <v>909</v>
      </c>
      <c r="K30" s="290">
        <v>556</v>
      </c>
      <c r="L30" s="291">
        <v>353</v>
      </c>
      <c r="M30" s="289">
        <f t="shared" si="20"/>
        <v>928</v>
      </c>
      <c r="N30" s="290">
        <v>560</v>
      </c>
      <c r="O30" s="291">
        <v>368</v>
      </c>
      <c r="P30" s="289">
        <f t="shared" si="21"/>
        <v>1011</v>
      </c>
      <c r="Q30" s="290">
        <v>616</v>
      </c>
      <c r="R30" s="291">
        <v>395</v>
      </c>
    </row>
    <row r="31" spans="1:18" ht="25.5" customHeight="1">
      <c r="A31" s="295" t="s">
        <v>5</v>
      </c>
      <c r="B31" s="296"/>
      <c r="C31" s="297"/>
      <c r="D31" s="298">
        <f aca="true" t="shared" si="22" ref="D31:O31">SUM(D24:D30)</f>
        <v>30972</v>
      </c>
      <c r="E31" s="316">
        <f t="shared" si="22"/>
        <v>15503</v>
      </c>
      <c r="F31" s="317">
        <f t="shared" si="22"/>
        <v>15469</v>
      </c>
      <c r="G31" s="298">
        <f t="shared" si="22"/>
        <v>31106</v>
      </c>
      <c r="H31" s="316">
        <f t="shared" si="22"/>
        <v>15591</v>
      </c>
      <c r="I31" s="317">
        <f t="shared" si="22"/>
        <v>15515</v>
      </c>
      <c r="J31" s="300">
        <f t="shared" si="22"/>
        <v>31158</v>
      </c>
      <c r="K31" s="301">
        <f t="shared" si="22"/>
        <v>15620</v>
      </c>
      <c r="L31" s="302">
        <f t="shared" si="22"/>
        <v>15538</v>
      </c>
      <c r="M31" s="300">
        <f t="shared" si="22"/>
        <v>31585</v>
      </c>
      <c r="N31" s="301">
        <f t="shared" si="22"/>
        <v>15914</v>
      </c>
      <c r="O31" s="302">
        <f t="shared" si="22"/>
        <v>15671</v>
      </c>
      <c r="P31" s="300">
        <f>SUM(P24:P30)</f>
        <v>32125</v>
      </c>
      <c r="Q31" s="301">
        <f>SUM(Q24:Q30)</f>
        <v>16207</v>
      </c>
      <c r="R31" s="302">
        <f>SUM(R24:R30)</f>
        <v>15918</v>
      </c>
    </row>
    <row r="32" ht="18" customHeight="1">
      <c r="C32" s="259" t="s">
        <v>110</v>
      </c>
    </row>
    <row r="33" ht="24" customHeight="1"/>
  </sheetData>
  <sheetProtection/>
  <mergeCells count="4">
    <mergeCell ref="A3:C4"/>
    <mergeCell ref="M3:O3"/>
    <mergeCell ref="J3:L3"/>
    <mergeCell ref="P3:R3"/>
  </mergeCells>
  <printOptions/>
  <pageMargins left="0.73" right="0.32" top="0.64" bottom="0.28" header="0.38" footer="0.23"/>
  <pageSetup horizontalDpi="600" verticalDpi="600" orientation="portrait" paperSize="9" r:id="rId1"/>
  <headerFooter alignWithMargins="0">
    <oddHeader>&amp;C&amp;"Times New Roman,Regular"- 15 -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D15" sqref="D15"/>
    </sheetView>
  </sheetViews>
  <sheetFormatPr defaultColWidth="8.8515625" defaultRowHeight="12.75"/>
  <cols>
    <col min="1" max="1" width="26.57421875" style="365" customWidth="1"/>
    <col min="2" max="2" width="7.140625" style="365" customWidth="1"/>
    <col min="3" max="3" width="6.421875" style="365" customWidth="1"/>
    <col min="4" max="4" width="8.421875" style="365" customWidth="1"/>
    <col min="5" max="12" width="7.00390625" style="365" customWidth="1"/>
    <col min="13" max="13" width="6.28125" style="365" customWidth="1"/>
    <col min="14" max="15" width="5.8515625" style="365" customWidth="1"/>
    <col min="16" max="16" width="6.140625" style="365" customWidth="1"/>
    <col min="17" max="17" width="7.140625" style="365" customWidth="1"/>
    <col min="18" max="19" width="7.140625" style="364" customWidth="1"/>
    <col min="20" max="20" width="6.57421875" style="365" customWidth="1"/>
    <col min="21" max="16384" width="8.8515625" style="365" customWidth="1"/>
  </cols>
  <sheetData>
    <row r="1" spans="1:19" s="319" customFormat="1" ht="16.5" customHeight="1">
      <c r="A1" s="318" t="s">
        <v>435</v>
      </c>
      <c r="R1" s="320"/>
      <c r="S1" s="320"/>
    </row>
    <row r="2" spans="1:19" s="319" customFormat="1" ht="5.25" customHeight="1">
      <c r="A2" s="53"/>
      <c r="R2" s="320"/>
      <c r="S2" s="320"/>
    </row>
    <row r="3" spans="1:19" s="53" customFormat="1" ht="63" customHeight="1">
      <c r="A3" s="321" t="s">
        <v>16</v>
      </c>
      <c r="B3" s="322" t="s">
        <v>111</v>
      </c>
      <c r="C3" s="323"/>
      <c r="D3" s="323"/>
      <c r="E3" s="324" t="s">
        <v>112</v>
      </c>
      <c r="F3" s="324" t="s">
        <v>113</v>
      </c>
      <c r="G3" s="324" t="s">
        <v>114</v>
      </c>
      <c r="H3" s="324" t="s">
        <v>115</v>
      </c>
      <c r="I3" s="325" t="s">
        <v>116</v>
      </c>
      <c r="J3" s="324" t="s">
        <v>117</v>
      </c>
      <c r="K3" s="324" t="s">
        <v>118</v>
      </c>
      <c r="L3" s="326"/>
      <c r="M3" s="327" t="s">
        <v>119</v>
      </c>
      <c r="N3" s="327" t="s">
        <v>120</v>
      </c>
      <c r="O3" s="327" t="s">
        <v>121</v>
      </c>
      <c r="P3" s="327" t="s">
        <v>122</v>
      </c>
      <c r="Q3" s="328" t="s">
        <v>123</v>
      </c>
      <c r="R3" s="329"/>
      <c r="S3" s="330"/>
    </row>
    <row r="4" spans="1:19" s="53" customFormat="1" ht="15" customHeight="1">
      <c r="A4" s="93" t="s">
        <v>59</v>
      </c>
      <c r="B4" s="331">
        <v>35</v>
      </c>
      <c r="C4" s="332">
        <v>116</v>
      </c>
      <c r="D4" s="333">
        <v>505</v>
      </c>
      <c r="E4" s="334">
        <f>SUM(F4:L4)</f>
        <v>175</v>
      </c>
      <c r="F4" s="335">
        <v>45</v>
      </c>
      <c r="G4" s="335">
        <v>51</v>
      </c>
      <c r="H4" s="335">
        <v>28</v>
      </c>
      <c r="I4" s="335">
        <v>4</v>
      </c>
      <c r="J4" s="342">
        <v>1</v>
      </c>
      <c r="K4" s="335">
        <v>39</v>
      </c>
      <c r="L4" s="1138">
        <v>7</v>
      </c>
      <c r="M4" s="331">
        <v>27</v>
      </c>
      <c r="N4" s="332">
        <v>75</v>
      </c>
      <c r="O4" s="332">
        <v>43</v>
      </c>
      <c r="P4" s="332">
        <v>5</v>
      </c>
      <c r="Q4" s="337">
        <f aca="true" t="shared" si="0" ref="Q4:Q12">SUM(B4,C4,D4,E4,M4,N4,O4,P4)</f>
        <v>981</v>
      </c>
      <c r="R4" s="338"/>
      <c r="S4" s="330"/>
    </row>
    <row r="5" spans="1:19" s="53" customFormat="1" ht="15" customHeight="1">
      <c r="A5" s="87" t="s">
        <v>60</v>
      </c>
      <c r="B5" s="339">
        <v>30</v>
      </c>
      <c r="C5" s="339">
        <v>85</v>
      </c>
      <c r="D5" s="340">
        <v>355</v>
      </c>
      <c r="E5" s="341">
        <f aca="true" t="shared" si="1" ref="E5:E12">SUM(F5:L5)</f>
        <v>151</v>
      </c>
      <c r="F5" s="342">
        <v>83</v>
      </c>
      <c r="G5" s="342">
        <v>33</v>
      </c>
      <c r="H5" s="342">
        <v>20</v>
      </c>
      <c r="I5" s="342">
        <v>11</v>
      </c>
      <c r="J5" s="352" t="s">
        <v>127</v>
      </c>
      <c r="K5" s="342">
        <v>4</v>
      </c>
      <c r="L5" s="1139" t="s">
        <v>127</v>
      </c>
      <c r="M5" s="1142">
        <v>19</v>
      </c>
      <c r="N5" s="339">
        <v>65</v>
      </c>
      <c r="O5" s="339">
        <v>30</v>
      </c>
      <c r="P5" s="339">
        <v>6</v>
      </c>
      <c r="Q5" s="344">
        <f t="shared" si="0"/>
        <v>741</v>
      </c>
      <c r="R5" s="338"/>
      <c r="S5" s="330"/>
    </row>
    <row r="6" spans="1:19" s="53" customFormat="1" ht="15" customHeight="1">
      <c r="A6" s="87" t="s">
        <v>124</v>
      </c>
      <c r="B6" s="339">
        <v>27</v>
      </c>
      <c r="C6" s="339">
        <v>88</v>
      </c>
      <c r="D6" s="340">
        <v>362</v>
      </c>
      <c r="E6" s="341">
        <f t="shared" si="1"/>
        <v>154</v>
      </c>
      <c r="F6" s="342">
        <v>94</v>
      </c>
      <c r="G6" s="342">
        <v>22</v>
      </c>
      <c r="H6" s="342">
        <v>20</v>
      </c>
      <c r="I6" s="342">
        <v>15</v>
      </c>
      <c r="J6" s="352" t="s">
        <v>127</v>
      </c>
      <c r="K6" s="342">
        <v>3</v>
      </c>
      <c r="L6" s="1139" t="s">
        <v>127</v>
      </c>
      <c r="M6" s="1142">
        <v>20</v>
      </c>
      <c r="N6" s="339">
        <v>45</v>
      </c>
      <c r="O6" s="339">
        <v>46</v>
      </c>
      <c r="P6" s="339">
        <v>10</v>
      </c>
      <c r="Q6" s="344">
        <f t="shared" si="0"/>
        <v>752</v>
      </c>
      <c r="R6" s="338"/>
      <c r="S6" s="330"/>
    </row>
    <row r="7" spans="1:19" s="53" customFormat="1" ht="15" customHeight="1">
      <c r="A7" s="87" t="s">
        <v>63</v>
      </c>
      <c r="B7" s="339">
        <v>36</v>
      </c>
      <c r="C7" s="339">
        <v>93</v>
      </c>
      <c r="D7" s="340">
        <v>467</v>
      </c>
      <c r="E7" s="341">
        <f t="shared" si="1"/>
        <v>207</v>
      </c>
      <c r="F7" s="342">
        <v>108</v>
      </c>
      <c r="G7" s="342">
        <v>41</v>
      </c>
      <c r="H7" s="342">
        <v>23</v>
      </c>
      <c r="I7" s="342">
        <v>21</v>
      </c>
      <c r="J7" s="342">
        <v>8</v>
      </c>
      <c r="K7" s="342">
        <v>5</v>
      </c>
      <c r="L7" s="1140">
        <v>1</v>
      </c>
      <c r="M7" s="1142">
        <v>25</v>
      </c>
      <c r="N7" s="339">
        <v>74</v>
      </c>
      <c r="O7" s="339">
        <v>57</v>
      </c>
      <c r="P7" s="339">
        <v>6</v>
      </c>
      <c r="Q7" s="344">
        <f t="shared" si="0"/>
        <v>965</v>
      </c>
      <c r="R7" s="338"/>
      <c r="S7" s="330"/>
    </row>
    <row r="8" spans="1:19" s="53" customFormat="1" ht="15" customHeight="1">
      <c r="A8" s="87" t="s">
        <v>64</v>
      </c>
      <c r="B8" s="339">
        <v>30</v>
      </c>
      <c r="C8" s="339">
        <v>83</v>
      </c>
      <c r="D8" s="340">
        <v>333</v>
      </c>
      <c r="E8" s="341">
        <f t="shared" si="1"/>
        <v>138</v>
      </c>
      <c r="F8" s="342">
        <v>56</v>
      </c>
      <c r="G8" s="342">
        <v>21</v>
      </c>
      <c r="H8" s="342">
        <v>24</v>
      </c>
      <c r="I8" s="342">
        <v>16</v>
      </c>
      <c r="J8" s="342">
        <v>8</v>
      </c>
      <c r="K8" s="342">
        <v>12</v>
      </c>
      <c r="L8" s="1140">
        <v>1</v>
      </c>
      <c r="M8" s="1142">
        <v>23</v>
      </c>
      <c r="N8" s="339">
        <v>55</v>
      </c>
      <c r="O8" s="339">
        <v>45</v>
      </c>
      <c r="P8" s="340">
        <v>8</v>
      </c>
      <c r="Q8" s="344">
        <f t="shared" si="0"/>
        <v>715</v>
      </c>
      <c r="R8" s="338"/>
      <c r="S8" s="330"/>
    </row>
    <row r="9" spans="1:19" s="53" customFormat="1" ht="15" customHeight="1">
      <c r="A9" s="87" t="s">
        <v>65</v>
      </c>
      <c r="B9" s="339">
        <v>17</v>
      </c>
      <c r="C9" s="339">
        <v>57</v>
      </c>
      <c r="D9" s="340">
        <v>193</v>
      </c>
      <c r="E9" s="341">
        <f t="shared" si="1"/>
        <v>87</v>
      </c>
      <c r="F9" s="342">
        <v>28</v>
      </c>
      <c r="G9" s="342">
        <v>14</v>
      </c>
      <c r="H9" s="342">
        <v>13</v>
      </c>
      <c r="I9" s="342">
        <v>13</v>
      </c>
      <c r="J9" s="342">
        <v>9</v>
      </c>
      <c r="K9" s="342">
        <v>10</v>
      </c>
      <c r="L9" s="1139" t="s">
        <v>127</v>
      </c>
      <c r="M9" s="1142">
        <v>10</v>
      </c>
      <c r="N9" s="339">
        <v>38</v>
      </c>
      <c r="O9" s="339">
        <v>18</v>
      </c>
      <c r="P9" s="339">
        <v>7</v>
      </c>
      <c r="Q9" s="344">
        <f t="shared" si="0"/>
        <v>427</v>
      </c>
      <c r="R9" s="338"/>
      <c r="S9" s="330"/>
    </row>
    <row r="10" spans="1:19" s="53" customFormat="1" ht="15" customHeight="1">
      <c r="A10" s="87" t="s">
        <v>66</v>
      </c>
      <c r="B10" s="339">
        <v>74</v>
      </c>
      <c r="C10" s="339">
        <v>289</v>
      </c>
      <c r="D10" s="340">
        <v>1137</v>
      </c>
      <c r="E10" s="341">
        <f t="shared" si="1"/>
        <v>322</v>
      </c>
      <c r="F10" s="342">
        <v>109</v>
      </c>
      <c r="G10" s="342">
        <v>83</v>
      </c>
      <c r="H10" s="342">
        <v>49</v>
      </c>
      <c r="I10" s="342">
        <v>21</v>
      </c>
      <c r="J10" s="342">
        <v>20</v>
      </c>
      <c r="K10" s="342">
        <v>27</v>
      </c>
      <c r="L10" s="1141">
        <v>13</v>
      </c>
      <c r="M10" s="1142">
        <v>57</v>
      </c>
      <c r="N10" s="339">
        <v>153</v>
      </c>
      <c r="O10" s="339">
        <v>89</v>
      </c>
      <c r="P10" s="339">
        <v>47</v>
      </c>
      <c r="Q10" s="344">
        <f t="shared" si="0"/>
        <v>2168</v>
      </c>
      <c r="R10" s="338"/>
      <c r="S10" s="330"/>
    </row>
    <row r="11" spans="1:19" s="53" customFormat="1" ht="15" customHeight="1">
      <c r="A11" s="87" t="s">
        <v>67</v>
      </c>
      <c r="B11" s="339">
        <v>26</v>
      </c>
      <c r="C11" s="339">
        <v>68</v>
      </c>
      <c r="D11" s="340">
        <v>338</v>
      </c>
      <c r="E11" s="341">
        <f t="shared" si="1"/>
        <v>108</v>
      </c>
      <c r="F11" s="342">
        <v>39</v>
      </c>
      <c r="G11" s="342">
        <v>30</v>
      </c>
      <c r="H11" s="342">
        <v>18</v>
      </c>
      <c r="I11" s="342">
        <v>7</v>
      </c>
      <c r="J11" s="342">
        <v>7</v>
      </c>
      <c r="K11" s="342">
        <v>5</v>
      </c>
      <c r="L11" s="1141">
        <v>2</v>
      </c>
      <c r="M11" s="1142">
        <v>21</v>
      </c>
      <c r="N11" s="339">
        <v>33</v>
      </c>
      <c r="O11" s="339">
        <v>36</v>
      </c>
      <c r="P11" s="339">
        <v>19</v>
      </c>
      <c r="Q11" s="344">
        <f t="shared" si="0"/>
        <v>649</v>
      </c>
      <c r="R11" s="338"/>
      <c r="S11" s="330"/>
    </row>
    <row r="12" spans="1:19" s="53" customFormat="1" ht="15" customHeight="1">
      <c r="A12" s="87" t="s">
        <v>68</v>
      </c>
      <c r="B12" s="339">
        <v>16</v>
      </c>
      <c r="C12" s="339">
        <v>19</v>
      </c>
      <c r="D12" s="340">
        <v>178</v>
      </c>
      <c r="E12" s="341">
        <f t="shared" si="1"/>
        <v>32</v>
      </c>
      <c r="F12" s="342">
        <v>15</v>
      </c>
      <c r="G12" s="1141">
        <v>4</v>
      </c>
      <c r="H12" s="1143">
        <v>6</v>
      </c>
      <c r="I12" s="352" t="s">
        <v>127</v>
      </c>
      <c r="J12" s="342">
        <v>7</v>
      </c>
      <c r="K12" s="352" t="s">
        <v>127</v>
      </c>
      <c r="L12" s="1139" t="s">
        <v>127</v>
      </c>
      <c r="M12" s="1137">
        <v>10</v>
      </c>
      <c r="N12" s="339">
        <v>24</v>
      </c>
      <c r="O12" s="339">
        <v>20</v>
      </c>
      <c r="P12" s="346">
        <v>3</v>
      </c>
      <c r="Q12" s="344">
        <f t="shared" si="0"/>
        <v>302</v>
      </c>
      <c r="R12" s="338"/>
      <c r="S12" s="330"/>
    </row>
    <row r="13" spans="1:19" s="53" customFormat="1" ht="16.5" customHeight="1">
      <c r="A13" s="93" t="s">
        <v>125</v>
      </c>
      <c r="B13" s="332">
        <f>SUM(B4:B12)</f>
        <v>291</v>
      </c>
      <c r="C13" s="332">
        <f aca="true" t="shared" si="2" ref="C13:Q13">SUM(C4:C12)</f>
        <v>898</v>
      </c>
      <c r="D13" s="332">
        <f t="shared" si="2"/>
        <v>3868</v>
      </c>
      <c r="E13" s="334">
        <f>SUM(E4:E12)</f>
        <v>1374</v>
      </c>
      <c r="F13" s="347">
        <f t="shared" si="2"/>
        <v>577</v>
      </c>
      <c r="G13" s="347">
        <f t="shared" si="2"/>
        <v>299</v>
      </c>
      <c r="H13" s="347">
        <f t="shared" si="2"/>
        <v>201</v>
      </c>
      <c r="I13" s="348">
        <f t="shared" si="2"/>
        <v>108</v>
      </c>
      <c r="J13" s="347">
        <f t="shared" si="2"/>
        <v>60</v>
      </c>
      <c r="K13" s="347">
        <f t="shared" si="2"/>
        <v>105</v>
      </c>
      <c r="L13" s="332">
        <f t="shared" si="2"/>
        <v>24</v>
      </c>
      <c r="M13" s="332">
        <f t="shared" si="2"/>
        <v>212</v>
      </c>
      <c r="N13" s="332">
        <f t="shared" si="2"/>
        <v>562</v>
      </c>
      <c r="O13" s="332">
        <f t="shared" si="2"/>
        <v>384</v>
      </c>
      <c r="P13" s="332">
        <f t="shared" si="2"/>
        <v>111</v>
      </c>
      <c r="Q13" s="332">
        <f t="shared" si="2"/>
        <v>7700</v>
      </c>
      <c r="R13" s="349"/>
      <c r="S13" s="330"/>
    </row>
    <row r="14" spans="1:19" s="53" customFormat="1" ht="16.5" customHeight="1">
      <c r="A14" s="87" t="s">
        <v>126</v>
      </c>
      <c r="B14" s="339">
        <v>12</v>
      </c>
      <c r="C14" s="339">
        <v>20</v>
      </c>
      <c r="D14" s="340">
        <v>212</v>
      </c>
      <c r="E14" s="350">
        <f>SUM(F14:L14)</f>
        <v>0</v>
      </c>
      <c r="F14" s="351" t="s">
        <v>127</v>
      </c>
      <c r="G14" s="351" t="s">
        <v>127</v>
      </c>
      <c r="H14" s="351" t="s">
        <v>127</v>
      </c>
      <c r="I14" s="352" t="s">
        <v>127</v>
      </c>
      <c r="J14" s="351" t="s">
        <v>127</v>
      </c>
      <c r="K14" s="351" t="s">
        <v>127</v>
      </c>
      <c r="L14" s="353">
        <v>0</v>
      </c>
      <c r="M14" s="339">
        <v>13</v>
      </c>
      <c r="N14" s="339">
        <v>51</v>
      </c>
      <c r="O14" s="339">
        <v>53</v>
      </c>
      <c r="P14" s="339">
        <v>29</v>
      </c>
      <c r="Q14" s="354">
        <f>SUM(B14,C14,D14,E14,M14,N14,O14,P14)</f>
        <v>390</v>
      </c>
      <c r="R14" s="338"/>
      <c r="S14" s="330"/>
    </row>
    <row r="15" spans="1:19" s="53" customFormat="1" ht="21" customHeight="1">
      <c r="A15" s="96" t="s">
        <v>94</v>
      </c>
      <c r="B15" s="355">
        <f>SUM(B13:B14)</f>
        <v>303</v>
      </c>
      <c r="C15" s="355">
        <f>SUM(C13:C14)</f>
        <v>918</v>
      </c>
      <c r="D15" s="356">
        <f>SUM(D13:D14)</f>
        <v>4080</v>
      </c>
      <c r="E15" s="335">
        <f>SUM(F15:L15)</f>
        <v>1374</v>
      </c>
      <c r="F15" s="335">
        <f aca="true" t="shared" si="3" ref="F15:L15">SUM(F13:F14)</f>
        <v>577</v>
      </c>
      <c r="G15" s="335">
        <f t="shared" si="3"/>
        <v>299</v>
      </c>
      <c r="H15" s="335">
        <f t="shared" si="3"/>
        <v>201</v>
      </c>
      <c r="I15" s="335">
        <f t="shared" si="3"/>
        <v>108</v>
      </c>
      <c r="J15" s="335">
        <f t="shared" si="3"/>
        <v>60</v>
      </c>
      <c r="K15" s="335">
        <f t="shared" si="3"/>
        <v>105</v>
      </c>
      <c r="L15" s="357">
        <f t="shared" si="3"/>
        <v>24</v>
      </c>
      <c r="M15" s="355">
        <f>SUM(M13:M14)</f>
        <v>225</v>
      </c>
      <c r="N15" s="355">
        <f>SUM(N13:N14)</f>
        <v>613</v>
      </c>
      <c r="O15" s="355">
        <f>SUM(O13:O14)</f>
        <v>437</v>
      </c>
      <c r="P15" s="355">
        <f>SUM(P13:P14)</f>
        <v>140</v>
      </c>
      <c r="Q15" s="355">
        <f>SUM(Q13:Q14)</f>
        <v>8090</v>
      </c>
      <c r="R15" s="338"/>
      <c r="S15" s="330"/>
    </row>
    <row r="16" spans="1:18" ht="9" customHeight="1">
      <c r="A16" s="359"/>
      <c r="B16" s="360"/>
      <c r="C16" s="360"/>
      <c r="D16" s="361"/>
      <c r="E16" s="360"/>
      <c r="F16" s="360"/>
      <c r="G16" s="360"/>
      <c r="H16" s="360"/>
      <c r="I16" s="360"/>
      <c r="J16" s="360"/>
      <c r="K16" s="360"/>
      <c r="L16" s="361"/>
      <c r="M16" s="360"/>
      <c r="N16" s="360"/>
      <c r="O16" s="360"/>
      <c r="P16" s="360"/>
      <c r="Q16" s="362"/>
      <c r="R16" s="363"/>
    </row>
    <row r="17" spans="1:18" ht="20.25" customHeight="1">
      <c r="A17" s="318" t="s">
        <v>436</v>
      </c>
      <c r="B17" s="319"/>
      <c r="C17" s="319"/>
      <c r="D17" s="319"/>
      <c r="E17" s="319"/>
      <c r="F17" s="319"/>
      <c r="G17" s="319"/>
      <c r="H17" s="319"/>
      <c r="I17" s="319"/>
      <c r="J17" s="366"/>
      <c r="K17" s="366"/>
      <c r="L17" s="366"/>
      <c r="M17" s="366"/>
      <c r="N17" s="367"/>
      <c r="O17" s="367"/>
      <c r="P17" s="366"/>
      <c r="Q17" s="368"/>
      <c r="R17" s="329"/>
    </row>
    <row r="18" spans="1:18" ht="5.25" customHeight="1">
      <c r="A18" s="369"/>
      <c r="B18" s="319"/>
      <c r="C18" s="319"/>
      <c r="D18" s="319"/>
      <c r="E18" s="319"/>
      <c r="F18" s="319"/>
      <c r="G18" s="319"/>
      <c r="H18" s="319"/>
      <c r="I18" s="319"/>
      <c r="J18" s="370"/>
      <c r="K18" s="370"/>
      <c r="L18" s="370"/>
      <c r="M18" s="370"/>
      <c r="N18" s="371"/>
      <c r="O18" s="371"/>
      <c r="P18" s="370"/>
      <c r="Q18" s="372"/>
      <c r="R18" s="329"/>
    </row>
    <row r="19" spans="1:18" ht="63" customHeight="1">
      <c r="A19" s="321" t="s">
        <v>33</v>
      </c>
      <c r="B19" s="322" t="s">
        <v>111</v>
      </c>
      <c r="C19" s="323"/>
      <c r="D19" s="323"/>
      <c r="E19" s="324" t="s">
        <v>112</v>
      </c>
      <c r="F19" s="324" t="s">
        <v>113</v>
      </c>
      <c r="G19" s="324" t="s">
        <v>114</v>
      </c>
      <c r="H19" s="324" t="s">
        <v>115</v>
      </c>
      <c r="I19" s="325" t="s">
        <v>116</v>
      </c>
      <c r="J19" s="324" t="s">
        <v>117</v>
      </c>
      <c r="K19" s="324" t="s">
        <v>118</v>
      </c>
      <c r="L19" s="326"/>
      <c r="M19" s="327" t="s">
        <v>119</v>
      </c>
      <c r="N19" s="327" t="s">
        <v>120</v>
      </c>
      <c r="O19" s="327" t="s">
        <v>121</v>
      </c>
      <c r="P19" s="327" t="s">
        <v>122</v>
      </c>
      <c r="Q19" s="328" t="s">
        <v>123</v>
      </c>
      <c r="R19" s="363"/>
    </row>
    <row r="20" spans="1:19" s="2" customFormat="1" ht="18.75" customHeight="1">
      <c r="A20" s="93" t="s">
        <v>34</v>
      </c>
      <c r="B20" s="332">
        <v>94</v>
      </c>
      <c r="C20" s="332">
        <v>293</v>
      </c>
      <c r="D20" s="333">
        <v>1256</v>
      </c>
      <c r="E20" s="334">
        <f>SUM(F20:L20)</f>
        <v>493</v>
      </c>
      <c r="F20" s="335">
        <v>225</v>
      </c>
      <c r="G20" s="335">
        <v>111</v>
      </c>
      <c r="H20" s="335">
        <v>70</v>
      </c>
      <c r="I20" s="335">
        <v>30</v>
      </c>
      <c r="J20" s="335">
        <v>1</v>
      </c>
      <c r="K20" s="335">
        <v>49</v>
      </c>
      <c r="L20" s="336">
        <v>7</v>
      </c>
      <c r="M20" s="332">
        <v>68</v>
      </c>
      <c r="N20" s="332">
        <v>189</v>
      </c>
      <c r="O20" s="332">
        <v>121</v>
      </c>
      <c r="P20" s="332">
        <v>21</v>
      </c>
      <c r="Q20" s="337">
        <f aca="true" t="shared" si="4" ref="Q20:Q25">SUM(B20,C20,D20,E20,M20,N20,O20,P20)</f>
        <v>2535</v>
      </c>
      <c r="R20" s="373"/>
      <c r="S20" s="374"/>
    </row>
    <row r="21" spans="1:19" s="2" customFormat="1" ht="18.75" customHeight="1">
      <c r="A21" s="87" t="s">
        <v>35</v>
      </c>
      <c r="B21" s="339">
        <v>78</v>
      </c>
      <c r="C21" s="339">
        <v>215</v>
      </c>
      <c r="D21" s="340">
        <v>1047</v>
      </c>
      <c r="E21" s="341">
        <f>SUM(F21:L21)</f>
        <v>364</v>
      </c>
      <c r="F21" s="342">
        <v>160</v>
      </c>
      <c r="G21" s="342">
        <v>90</v>
      </c>
      <c r="H21" s="342">
        <v>50</v>
      </c>
      <c r="I21" s="342">
        <v>30</v>
      </c>
      <c r="J21" s="375">
        <v>17</v>
      </c>
      <c r="K21" s="342">
        <v>10</v>
      </c>
      <c r="L21" s="345">
        <v>7</v>
      </c>
      <c r="M21" s="339">
        <v>56</v>
      </c>
      <c r="N21" s="339">
        <v>129</v>
      </c>
      <c r="O21" s="339">
        <v>114</v>
      </c>
      <c r="P21" s="339">
        <v>29</v>
      </c>
      <c r="Q21" s="344">
        <f t="shared" si="4"/>
        <v>2032</v>
      </c>
      <c r="R21" s="373"/>
      <c r="S21" s="374"/>
    </row>
    <row r="22" spans="1:19" s="2" customFormat="1" ht="18.75" customHeight="1">
      <c r="A22" s="87" t="s">
        <v>36</v>
      </c>
      <c r="B22" s="339">
        <v>66</v>
      </c>
      <c r="C22" s="339">
        <v>204</v>
      </c>
      <c r="D22" s="340">
        <v>835</v>
      </c>
      <c r="E22" s="341">
        <f>SUM(F22:L22)</f>
        <v>301</v>
      </c>
      <c r="F22" s="342">
        <v>111</v>
      </c>
      <c r="G22" s="342">
        <v>51</v>
      </c>
      <c r="H22" s="342">
        <v>49</v>
      </c>
      <c r="I22" s="342">
        <v>33</v>
      </c>
      <c r="J22" s="375">
        <v>21</v>
      </c>
      <c r="K22" s="342">
        <v>32</v>
      </c>
      <c r="L22" s="345">
        <v>4</v>
      </c>
      <c r="M22" s="339">
        <v>49</v>
      </c>
      <c r="N22" s="339">
        <v>143</v>
      </c>
      <c r="O22" s="339">
        <v>95</v>
      </c>
      <c r="P22" s="339">
        <v>35</v>
      </c>
      <c r="Q22" s="344">
        <f t="shared" si="4"/>
        <v>1728</v>
      </c>
      <c r="R22" s="373"/>
      <c r="S22" s="374"/>
    </row>
    <row r="23" spans="1:19" s="2" customFormat="1" ht="29.25" customHeight="1">
      <c r="A23" s="987" t="s">
        <v>260</v>
      </c>
      <c r="B23" s="339">
        <v>53</v>
      </c>
      <c r="C23" s="339">
        <v>186</v>
      </c>
      <c r="D23" s="340">
        <v>730</v>
      </c>
      <c r="E23" s="341">
        <f>SUM(F23:L23)</f>
        <v>216</v>
      </c>
      <c r="F23" s="342">
        <v>81</v>
      </c>
      <c r="G23" s="342">
        <v>47</v>
      </c>
      <c r="H23" s="342">
        <v>32</v>
      </c>
      <c r="I23" s="342">
        <v>15</v>
      </c>
      <c r="J23" s="342">
        <v>21</v>
      </c>
      <c r="K23" s="342">
        <v>14</v>
      </c>
      <c r="L23" s="376">
        <v>6</v>
      </c>
      <c r="M23" s="339">
        <v>39</v>
      </c>
      <c r="N23" s="339">
        <v>101</v>
      </c>
      <c r="O23" s="339">
        <v>54</v>
      </c>
      <c r="P23" s="339">
        <v>26</v>
      </c>
      <c r="Q23" s="344">
        <f t="shared" si="4"/>
        <v>1405</v>
      </c>
      <c r="R23" s="373"/>
      <c r="S23" s="374"/>
    </row>
    <row r="24" spans="1:19" s="2" customFormat="1" ht="20.25" customHeight="1">
      <c r="A24" s="87" t="s">
        <v>38</v>
      </c>
      <c r="B24" s="339">
        <v>12</v>
      </c>
      <c r="C24" s="339">
        <v>20</v>
      </c>
      <c r="D24" s="340">
        <v>212</v>
      </c>
      <c r="E24" s="343">
        <v>0</v>
      </c>
      <c r="F24" s="343">
        <v>0</v>
      </c>
      <c r="G24" s="343">
        <v>0</v>
      </c>
      <c r="H24" s="343">
        <v>0</v>
      </c>
      <c r="I24" s="343">
        <v>0</v>
      </c>
      <c r="J24" s="343">
        <v>0</v>
      </c>
      <c r="K24" s="343">
        <v>0</v>
      </c>
      <c r="L24" s="1136">
        <v>0</v>
      </c>
      <c r="M24" s="1137">
        <v>13</v>
      </c>
      <c r="N24" s="339">
        <v>51</v>
      </c>
      <c r="O24" s="339">
        <v>53</v>
      </c>
      <c r="P24" s="340">
        <v>29</v>
      </c>
      <c r="Q24" s="344">
        <f t="shared" si="4"/>
        <v>390</v>
      </c>
      <c r="R24" s="373"/>
      <c r="S24" s="374"/>
    </row>
    <row r="25" spans="1:19" s="2" customFormat="1" ht="24.75" customHeight="1">
      <c r="A25" s="96" t="s">
        <v>52</v>
      </c>
      <c r="B25" s="377">
        <f aca="true" t="shared" si="5" ref="B25:P25">SUM(B20:B24)</f>
        <v>303</v>
      </c>
      <c r="C25" s="355">
        <f t="shared" si="5"/>
        <v>918</v>
      </c>
      <c r="D25" s="355">
        <f t="shared" si="5"/>
        <v>4080</v>
      </c>
      <c r="E25" s="378">
        <f t="shared" si="5"/>
        <v>1374</v>
      </c>
      <c r="F25" s="379">
        <f t="shared" si="5"/>
        <v>577</v>
      </c>
      <c r="G25" s="379">
        <f t="shared" si="5"/>
        <v>299</v>
      </c>
      <c r="H25" s="379">
        <f t="shared" si="5"/>
        <v>201</v>
      </c>
      <c r="I25" s="379">
        <f t="shared" si="5"/>
        <v>108</v>
      </c>
      <c r="J25" s="379">
        <f t="shared" si="5"/>
        <v>60</v>
      </c>
      <c r="K25" s="379">
        <f t="shared" si="5"/>
        <v>105</v>
      </c>
      <c r="L25" s="380">
        <f t="shared" si="5"/>
        <v>24</v>
      </c>
      <c r="M25" s="381">
        <f t="shared" si="5"/>
        <v>225</v>
      </c>
      <c r="N25" s="377">
        <f t="shared" si="5"/>
        <v>613</v>
      </c>
      <c r="O25" s="377">
        <f t="shared" si="5"/>
        <v>437</v>
      </c>
      <c r="P25" s="377">
        <f t="shared" si="5"/>
        <v>140</v>
      </c>
      <c r="Q25" s="358">
        <f t="shared" si="4"/>
        <v>8090</v>
      </c>
      <c r="R25" s="373"/>
      <c r="S25" s="374"/>
    </row>
    <row r="26" spans="1:18" ht="6.75" customHeight="1">
      <c r="A26" s="382"/>
      <c r="B26" s="383"/>
      <c r="C26" s="383"/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4"/>
      <c r="R26" s="363"/>
    </row>
    <row r="27" spans="1:19" ht="12.75">
      <c r="A27" s="53" t="s">
        <v>128</v>
      </c>
      <c r="B27" s="385"/>
      <c r="C27" s="385"/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  <c r="Q27" s="385"/>
      <c r="R27" s="386"/>
      <c r="S27" s="386"/>
    </row>
    <row r="28" spans="2:19" ht="12">
      <c r="B28" s="385"/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6"/>
      <c r="S28" s="386"/>
    </row>
    <row r="29" spans="2:19" ht="12">
      <c r="B29" s="385"/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6"/>
      <c r="S29" s="386"/>
    </row>
    <row r="30" spans="2:19" ht="12">
      <c r="B30" s="385"/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6"/>
      <c r="S30" s="386"/>
    </row>
  </sheetData>
  <sheetProtection/>
  <printOptions/>
  <pageMargins left="0.32" right="0.24" top="0.7" bottom="0.33" header="0.3" footer="0.16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pane xSplit="9" ySplit="5" topLeftCell="J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R6" sqref="R6"/>
    </sheetView>
  </sheetViews>
  <sheetFormatPr defaultColWidth="9.140625" defaultRowHeight="12.75"/>
  <cols>
    <col min="1" max="1" width="12.140625" style="142" customWidth="1"/>
    <col min="2" max="2" width="12.421875" style="142" customWidth="1"/>
    <col min="3" max="3" width="10.7109375" style="142" customWidth="1"/>
    <col min="4" max="8" width="10.7109375" style="142" hidden="1" customWidth="1"/>
    <col min="9" max="9" width="10.00390625" style="142" hidden="1" customWidth="1"/>
    <col min="10" max="10" width="10.7109375" style="142" customWidth="1"/>
    <col min="11" max="15" width="9.140625" style="142" customWidth="1"/>
    <col min="16" max="16" width="10.7109375" style="142" customWidth="1"/>
    <col min="17" max="18" width="9.140625" style="142" customWidth="1"/>
    <col min="19" max="16384" width="9.140625" style="142" customWidth="1"/>
  </cols>
  <sheetData>
    <row r="1" spans="1:19" ht="23.25" customHeight="1">
      <c r="A1" s="459" t="s">
        <v>415</v>
      </c>
      <c r="B1" s="388"/>
      <c r="C1" s="388"/>
      <c r="D1" s="388"/>
      <c r="E1" s="388"/>
      <c r="F1" s="388"/>
      <c r="G1"/>
      <c r="H1"/>
      <c r="I1"/>
      <c r="J1" s="389"/>
      <c r="K1" s="389"/>
      <c r="L1" s="389"/>
      <c r="S1"/>
    </row>
    <row r="2" spans="1:12" ht="3.75" customHeight="1">
      <c r="A2" s="387"/>
      <c r="B2" s="388"/>
      <c r="C2" s="388"/>
      <c r="D2" s="388"/>
      <c r="E2" s="388"/>
      <c r="F2" s="388"/>
      <c r="K2" s="390"/>
      <c r="L2" s="390"/>
    </row>
    <row r="3" spans="1:6" ht="18.75" customHeight="1" thickBot="1">
      <c r="A3" s="391" t="s">
        <v>129</v>
      </c>
      <c r="B3" s="388"/>
      <c r="C3" s="388"/>
      <c r="D3" s="388"/>
      <c r="E3" s="388"/>
      <c r="F3" s="388"/>
    </row>
    <row r="4" spans="1:18" ht="23.25" customHeight="1">
      <c r="A4" s="1419"/>
      <c r="B4" s="1420"/>
      <c r="C4" s="1421"/>
      <c r="D4" s="392">
        <v>2004</v>
      </c>
      <c r="E4" s="393"/>
      <c r="F4" s="394"/>
      <c r="G4" s="392">
        <v>2005</v>
      </c>
      <c r="H4" s="393"/>
      <c r="I4" s="394"/>
      <c r="J4" s="392">
        <v>2006</v>
      </c>
      <c r="K4" s="393"/>
      <c r="L4" s="394"/>
      <c r="M4" s="1425">
        <v>2007</v>
      </c>
      <c r="N4" s="1426"/>
      <c r="O4" s="1427"/>
      <c r="P4" s="1425">
        <v>2008</v>
      </c>
      <c r="Q4" s="1426"/>
      <c r="R4" s="1427"/>
    </row>
    <row r="5" spans="1:18" ht="30.75" customHeight="1">
      <c r="A5" s="1422"/>
      <c r="B5" s="1423"/>
      <c r="C5" s="1424"/>
      <c r="D5" s="395" t="s">
        <v>130</v>
      </c>
      <c r="E5" s="396" t="s">
        <v>131</v>
      </c>
      <c r="F5" s="397" t="s">
        <v>132</v>
      </c>
      <c r="G5" s="395" t="s">
        <v>130</v>
      </c>
      <c r="H5" s="396" t="s">
        <v>131</v>
      </c>
      <c r="I5" s="397" t="s">
        <v>132</v>
      </c>
      <c r="J5" s="395" t="s">
        <v>130</v>
      </c>
      <c r="K5" s="1234" t="s">
        <v>437</v>
      </c>
      <c r="L5" s="1236" t="s">
        <v>438</v>
      </c>
      <c r="M5" s="1237" t="s">
        <v>130</v>
      </c>
      <c r="N5" s="1234" t="s">
        <v>437</v>
      </c>
      <c r="O5" s="1236" t="s">
        <v>438</v>
      </c>
      <c r="P5" s="1237" t="s">
        <v>130</v>
      </c>
      <c r="Q5" s="1234" t="s">
        <v>437</v>
      </c>
      <c r="R5" s="1238" t="s">
        <v>438</v>
      </c>
    </row>
    <row r="6" spans="1:18" ht="44.25" customHeight="1">
      <c r="A6" s="398" t="s">
        <v>105</v>
      </c>
      <c r="B6" s="399"/>
      <c r="C6" s="400" t="s">
        <v>5</v>
      </c>
      <c r="D6" s="401">
        <f>SUM(D7:D8)</f>
        <v>27332</v>
      </c>
      <c r="E6" s="402">
        <f>SUM(E7:E8)</f>
        <v>17217</v>
      </c>
      <c r="F6" s="403">
        <f aca="true" t="shared" si="0" ref="F6:F14">E6/D6*100</f>
        <v>62.992097175471976</v>
      </c>
      <c r="G6" s="401">
        <f>SUM(G7:G8)</f>
        <v>27117</v>
      </c>
      <c r="H6" s="402">
        <f>SUM(H7:H8)</f>
        <v>17596</v>
      </c>
      <c r="I6" s="403">
        <f aca="true" t="shared" si="1" ref="I6:I14">H6/G6*100</f>
        <v>64.88918390677435</v>
      </c>
      <c r="J6" s="401">
        <f>SUM(J7:J8)</f>
        <v>25007</v>
      </c>
      <c r="K6" s="402">
        <f>SUM(K7:K8)</f>
        <v>16987</v>
      </c>
      <c r="L6" s="403">
        <f>K6/J6*100</f>
        <v>67.92897988563202</v>
      </c>
      <c r="M6" s="401">
        <f>SUM(M7:M8)</f>
        <v>24050</v>
      </c>
      <c r="N6" s="402">
        <f>SUM(N7:N8)</f>
        <v>15915</v>
      </c>
      <c r="O6" s="403">
        <f aca="true" t="shared" si="2" ref="O6:O14">N6/M6*100</f>
        <v>66.17463617463616</v>
      </c>
      <c r="P6" s="401">
        <f>SUM(P7:P8)</f>
        <v>23664</v>
      </c>
      <c r="Q6" s="402">
        <f>SUM(Q7:Q8)</f>
        <v>15957</v>
      </c>
      <c r="R6" s="403">
        <f aca="true" t="shared" si="3" ref="R6:R14">Q6/P6*100</f>
        <v>67.4315415821501</v>
      </c>
    </row>
    <row r="7" spans="1:18" ht="44.25" customHeight="1">
      <c r="A7" s="404" t="s">
        <v>102</v>
      </c>
      <c r="B7" s="405"/>
      <c r="C7" s="400" t="s">
        <v>43</v>
      </c>
      <c r="D7" s="406">
        <f>D10+D13</f>
        <v>14084</v>
      </c>
      <c r="E7" s="402">
        <f>E10+E13</f>
        <v>8152</v>
      </c>
      <c r="F7" s="403">
        <f t="shared" si="0"/>
        <v>57.881283726214136</v>
      </c>
      <c r="G7" s="406">
        <f>G10+G13</f>
        <v>13981</v>
      </c>
      <c r="H7" s="402">
        <f>H10+H13</f>
        <v>8244</v>
      </c>
      <c r="I7" s="403">
        <f t="shared" si="1"/>
        <v>58.96573921750947</v>
      </c>
      <c r="J7" s="406">
        <f>J10+J13</f>
        <v>12942</v>
      </c>
      <c r="K7" s="402">
        <f>K10+K13</f>
        <v>8028</v>
      </c>
      <c r="L7" s="403">
        <f>K7/J7*100</f>
        <v>62.03059805285118</v>
      </c>
      <c r="M7" s="406">
        <f>M10+M13</f>
        <v>12368</v>
      </c>
      <c r="N7" s="402">
        <f>N10+N13</f>
        <v>7428</v>
      </c>
      <c r="O7" s="403">
        <f t="shared" si="2"/>
        <v>60.058214747736095</v>
      </c>
      <c r="P7" s="406">
        <f>P10+P13</f>
        <v>12299</v>
      </c>
      <c r="Q7" s="402">
        <f>Q10+Q13</f>
        <v>7633</v>
      </c>
      <c r="R7" s="403">
        <f t="shared" si="3"/>
        <v>62.06195625660623</v>
      </c>
    </row>
    <row r="8" spans="1:18" ht="44.25" customHeight="1">
      <c r="A8" s="407" t="s">
        <v>102</v>
      </c>
      <c r="B8" s="408"/>
      <c r="C8" s="409" t="s">
        <v>44</v>
      </c>
      <c r="D8" s="410">
        <f>D11+D14</f>
        <v>13248</v>
      </c>
      <c r="E8" s="411">
        <f>E11+E14</f>
        <v>9065</v>
      </c>
      <c r="F8" s="412">
        <f t="shared" si="0"/>
        <v>68.425422705314</v>
      </c>
      <c r="G8" s="410">
        <f>G11+G14</f>
        <v>13136</v>
      </c>
      <c r="H8" s="411">
        <f>H11+H14</f>
        <v>9352</v>
      </c>
      <c r="I8" s="412">
        <f t="shared" si="1"/>
        <v>71.19366626065774</v>
      </c>
      <c r="J8" s="410">
        <f>J11+J14</f>
        <v>12065</v>
      </c>
      <c r="K8" s="411">
        <f>K11+K14</f>
        <v>8959</v>
      </c>
      <c r="L8" s="412">
        <f>K8/J8*100</f>
        <v>74.25611272275177</v>
      </c>
      <c r="M8" s="410">
        <f>M11+M14</f>
        <v>11682</v>
      </c>
      <c r="N8" s="411">
        <f>N11+N14</f>
        <v>8487</v>
      </c>
      <c r="O8" s="412">
        <f t="shared" si="2"/>
        <v>72.65023112480739</v>
      </c>
      <c r="P8" s="410">
        <f>P11+P14</f>
        <v>11365</v>
      </c>
      <c r="Q8" s="411">
        <f>Q11+Q14</f>
        <v>8324</v>
      </c>
      <c r="R8" s="412">
        <f t="shared" si="3"/>
        <v>73.24241091069071</v>
      </c>
    </row>
    <row r="9" spans="1:18" ht="44.25" customHeight="1">
      <c r="A9" s="413" t="s">
        <v>2</v>
      </c>
      <c r="B9" s="414"/>
      <c r="C9" s="415" t="s">
        <v>5</v>
      </c>
      <c r="D9" s="401">
        <f>SUM(D10:D11)</f>
        <v>26318</v>
      </c>
      <c r="E9" s="402">
        <f>SUM(E10:E11)</f>
        <v>16681</v>
      </c>
      <c r="F9" s="403">
        <f t="shared" si="0"/>
        <v>63.382475872026745</v>
      </c>
      <c r="G9" s="401">
        <f>SUM(G10:G11)</f>
        <v>26038</v>
      </c>
      <c r="H9" s="402">
        <f>SUM(H10:H11)</f>
        <v>16993</v>
      </c>
      <c r="I9" s="403">
        <f t="shared" si="1"/>
        <v>65.26230893309778</v>
      </c>
      <c r="J9" s="401">
        <f>SUM(J10:J11)</f>
        <v>23986</v>
      </c>
      <c r="K9" s="402">
        <f>SUM(K10:K11)</f>
        <v>16424</v>
      </c>
      <c r="L9" s="403">
        <f>K9/J9*100</f>
        <v>68.473276077712</v>
      </c>
      <c r="M9" s="401">
        <v>23078</v>
      </c>
      <c r="N9" s="402">
        <f>SUM(N10:N11)</f>
        <v>15431</v>
      </c>
      <c r="O9" s="403">
        <f t="shared" si="2"/>
        <v>66.86454632117169</v>
      </c>
      <c r="P9" s="401">
        <v>22662</v>
      </c>
      <c r="Q9" s="402">
        <v>15404</v>
      </c>
      <c r="R9" s="403">
        <f t="shared" si="3"/>
        <v>67.97281793310388</v>
      </c>
    </row>
    <row r="10" spans="1:18" ht="44.25" customHeight="1">
      <c r="A10" s="416"/>
      <c r="B10" s="417"/>
      <c r="C10" s="400" t="s">
        <v>43</v>
      </c>
      <c r="D10" s="406">
        <v>13548</v>
      </c>
      <c r="E10" s="418">
        <v>7895</v>
      </c>
      <c r="F10" s="403">
        <f t="shared" si="0"/>
        <v>58.27428402716268</v>
      </c>
      <c r="G10" s="406">
        <v>13438</v>
      </c>
      <c r="H10" s="418">
        <v>7970</v>
      </c>
      <c r="I10" s="403">
        <f t="shared" si="1"/>
        <v>59.30942104479834</v>
      </c>
      <c r="J10" s="406">
        <v>12426</v>
      </c>
      <c r="K10" s="418">
        <v>7787</v>
      </c>
      <c r="L10" s="403">
        <v>62.7</v>
      </c>
      <c r="M10" s="406">
        <v>11877</v>
      </c>
      <c r="N10" s="418">
        <v>7222</v>
      </c>
      <c r="O10" s="403">
        <f t="shared" si="2"/>
        <v>60.80660099351688</v>
      </c>
      <c r="P10" s="406">
        <v>11769</v>
      </c>
      <c r="Q10" s="418">
        <v>7368</v>
      </c>
      <c r="R10" s="403">
        <f t="shared" si="3"/>
        <v>62.60514912057099</v>
      </c>
    </row>
    <row r="11" spans="1:18" ht="44.25" customHeight="1">
      <c r="A11" s="419"/>
      <c r="B11" s="420" t="s">
        <v>102</v>
      </c>
      <c r="C11" s="409" t="s">
        <v>44</v>
      </c>
      <c r="D11" s="410">
        <v>12770</v>
      </c>
      <c r="E11" s="421">
        <v>8786</v>
      </c>
      <c r="F11" s="412">
        <f t="shared" si="0"/>
        <v>68.80187940485513</v>
      </c>
      <c r="G11" s="410">
        <v>12600</v>
      </c>
      <c r="H11" s="421">
        <v>9023</v>
      </c>
      <c r="I11" s="412">
        <f t="shared" si="1"/>
        <v>71.61111111111111</v>
      </c>
      <c r="J11" s="410">
        <v>11560</v>
      </c>
      <c r="K11" s="421">
        <v>8637</v>
      </c>
      <c r="L11" s="412">
        <v>74.7</v>
      </c>
      <c r="M11" s="410">
        <v>11201</v>
      </c>
      <c r="N11" s="421">
        <v>8209</v>
      </c>
      <c r="O11" s="412">
        <f t="shared" si="2"/>
        <v>73.28809927685029</v>
      </c>
      <c r="P11" s="410">
        <v>10893</v>
      </c>
      <c r="Q11" s="421">
        <v>8036</v>
      </c>
      <c r="R11" s="412">
        <f t="shared" si="3"/>
        <v>73.77214725052787</v>
      </c>
    </row>
    <row r="12" spans="1:18" ht="44.25" customHeight="1">
      <c r="A12" s="422" t="s">
        <v>133</v>
      </c>
      <c r="B12" s="423"/>
      <c r="C12" s="400" t="s">
        <v>5</v>
      </c>
      <c r="D12" s="401">
        <f>SUM(D13:D14)</f>
        <v>1014</v>
      </c>
      <c r="E12" s="402">
        <f>SUM(E13:E14)</f>
        <v>536</v>
      </c>
      <c r="F12" s="403">
        <f t="shared" si="0"/>
        <v>52.85996055226825</v>
      </c>
      <c r="G12" s="401">
        <f>SUM(G13:G14)</f>
        <v>1079</v>
      </c>
      <c r="H12" s="402">
        <f>SUM(H13:H14)</f>
        <v>603</v>
      </c>
      <c r="I12" s="403">
        <f t="shared" si="1"/>
        <v>55.88507877664504</v>
      </c>
      <c r="J12" s="401">
        <f>SUM(J13:J14)</f>
        <v>1021</v>
      </c>
      <c r="K12" s="402">
        <f>SUM(K13:K14)</f>
        <v>563</v>
      </c>
      <c r="L12" s="403">
        <f>K12/J12*100</f>
        <v>55.14201762977473</v>
      </c>
      <c r="M12" s="991">
        <f>SUM(M13:M14)</f>
        <v>972</v>
      </c>
      <c r="N12" s="992">
        <f>SUM(N13:N14)</f>
        <v>484</v>
      </c>
      <c r="O12" s="994">
        <f t="shared" si="2"/>
        <v>49.794238683127574</v>
      </c>
      <c r="P12" s="991">
        <f>SUM(P13:P14)</f>
        <v>1002</v>
      </c>
      <c r="Q12" s="992">
        <f>SUM(Q13:Q14)</f>
        <v>553</v>
      </c>
      <c r="R12" s="994">
        <f t="shared" si="3"/>
        <v>55.18962075848304</v>
      </c>
    </row>
    <row r="13" spans="1:18" ht="44.25" customHeight="1">
      <c r="A13" s="404" t="s">
        <v>102</v>
      </c>
      <c r="B13" s="405"/>
      <c r="C13" s="400" t="s">
        <v>43</v>
      </c>
      <c r="D13" s="406">
        <v>536</v>
      </c>
      <c r="E13" s="418">
        <v>257</v>
      </c>
      <c r="F13" s="403">
        <f t="shared" si="0"/>
        <v>47.94776119402985</v>
      </c>
      <c r="G13" s="406">
        <v>543</v>
      </c>
      <c r="H13" s="418">
        <v>274</v>
      </c>
      <c r="I13" s="403">
        <f t="shared" si="1"/>
        <v>50.46040515653776</v>
      </c>
      <c r="J13" s="406">
        <v>516</v>
      </c>
      <c r="K13" s="418">
        <v>241</v>
      </c>
      <c r="L13" s="403">
        <v>46.7</v>
      </c>
      <c r="M13" s="406">
        <v>491</v>
      </c>
      <c r="N13" s="418">
        <v>206</v>
      </c>
      <c r="O13" s="995">
        <f t="shared" si="2"/>
        <v>41.955193482688394</v>
      </c>
      <c r="P13" s="406">
        <v>530</v>
      </c>
      <c r="Q13" s="418">
        <v>265</v>
      </c>
      <c r="R13" s="995">
        <f t="shared" si="3"/>
        <v>50</v>
      </c>
    </row>
    <row r="14" spans="1:18" ht="44.25" customHeight="1" thickBot="1">
      <c r="A14" s="424" t="s">
        <v>102</v>
      </c>
      <c r="B14" s="425"/>
      <c r="C14" s="426" t="s">
        <v>44</v>
      </c>
      <c r="D14" s="427">
        <v>478</v>
      </c>
      <c r="E14" s="428">
        <v>279</v>
      </c>
      <c r="F14" s="429">
        <f t="shared" si="0"/>
        <v>58.36820083682008</v>
      </c>
      <c r="G14" s="427">
        <v>536</v>
      </c>
      <c r="H14" s="428">
        <v>329</v>
      </c>
      <c r="I14" s="429">
        <f t="shared" si="1"/>
        <v>61.38059701492538</v>
      </c>
      <c r="J14" s="427">
        <v>505</v>
      </c>
      <c r="K14" s="428">
        <v>322</v>
      </c>
      <c r="L14" s="429">
        <v>63.8</v>
      </c>
      <c r="M14" s="993">
        <v>481</v>
      </c>
      <c r="N14" s="428">
        <v>278</v>
      </c>
      <c r="O14" s="429">
        <f t="shared" si="2"/>
        <v>57.7962577962578</v>
      </c>
      <c r="P14" s="993">
        <v>472</v>
      </c>
      <c r="Q14" s="428">
        <v>288</v>
      </c>
      <c r="R14" s="429">
        <f t="shared" si="3"/>
        <v>61.016949152542374</v>
      </c>
    </row>
    <row r="15" ht="19.5" customHeight="1">
      <c r="A15" s="388" t="s">
        <v>134</v>
      </c>
    </row>
  </sheetData>
  <sheetProtection/>
  <mergeCells count="3">
    <mergeCell ref="A4:C5"/>
    <mergeCell ref="M4:O4"/>
    <mergeCell ref="P4:R4"/>
  </mergeCells>
  <printOptions/>
  <pageMargins left="0.5" right="0.34" top="0.75" bottom="0.35" header="0.27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IV4"/>
    </sheetView>
  </sheetViews>
  <sheetFormatPr defaultColWidth="9.140625" defaultRowHeight="12.75"/>
  <cols>
    <col min="1" max="1" width="26.7109375" style="3" customWidth="1"/>
    <col min="2" max="2" width="10.8515625" style="1" customWidth="1"/>
    <col min="3" max="11" width="10.140625" style="3" customWidth="1"/>
    <col min="12" max="12" width="9.140625" style="142" customWidth="1"/>
    <col min="13" max="13" width="4.8515625" style="3" customWidth="1"/>
    <col min="14" max="16384" width="9.140625" style="3" customWidth="1"/>
  </cols>
  <sheetData>
    <row r="1" spans="1:12" ht="21" customHeight="1">
      <c r="A1" s="3" t="s">
        <v>416</v>
      </c>
      <c r="B1" s="3"/>
      <c r="C1" s="1"/>
      <c r="L1"/>
    </row>
    <row r="2" ht="15" customHeight="1"/>
    <row r="3" spans="1:11" ht="24.75" customHeight="1">
      <c r="A3" s="430"/>
      <c r="B3" s="69"/>
      <c r="C3" s="1264" t="s">
        <v>2</v>
      </c>
      <c r="D3" s="1335"/>
      <c r="E3" s="1265"/>
      <c r="F3" s="1264" t="s">
        <v>4</v>
      </c>
      <c r="G3" s="1335"/>
      <c r="H3" s="1265"/>
      <c r="I3" s="1335" t="s">
        <v>105</v>
      </c>
      <c r="J3" s="1335"/>
      <c r="K3" s="1265"/>
    </row>
    <row r="4" spans="1:11" ht="30.75" customHeight="1">
      <c r="A4" s="431"/>
      <c r="B4" s="432"/>
      <c r="C4" s="1235" t="s">
        <v>130</v>
      </c>
      <c r="D4" s="1234" t="s">
        <v>437</v>
      </c>
      <c r="E4" s="434" t="s">
        <v>438</v>
      </c>
      <c r="F4" s="435" t="s">
        <v>130</v>
      </c>
      <c r="G4" s="1234" t="s">
        <v>437</v>
      </c>
      <c r="H4" s="434" t="s">
        <v>438</v>
      </c>
      <c r="I4" s="435" t="s">
        <v>130</v>
      </c>
      <c r="J4" s="1234" t="s">
        <v>437</v>
      </c>
      <c r="K4" s="434" t="s">
        <v>438</v>
      </c>
    </row>
    <row r="5" spans="1:11" ht="21" customHeight="1">
      <c r="A5" s="436" t="s">
        <v>135</v>
      </c>
      <c r="B5" s="432"/>
      <c r="C5" s="433"/>
      <c r="D5" s="437"/>
      <c r="E5" s="438"/>
      <c r="F5" s="433"/>
      <c r="G5" s="437"/>
      <c r="H5" s="438"/>
      <c r="I5" s="433"/>
      <c r="J5" s="439"/>
      <c r="K5" s="438"/>
    </row>
    <row r="6" spans="1:11" ht="21.75" customHeight="1">
      <c r="A6" s="440" t="s">
        <v>136</v>
      </c>
      <c r="B6" s="441" t="s">
        <v>5</v>
      </c>
      <c r="C6" s="442">
        <f>SUM(C7:C8)</f>
        <v>17687</v>
      </c>
      <c r="D6" s="443">
        <f>SUM(D7:D8)</f>
        <v>13414</v>
      </c>
      <c r="E6" s="444">
        <f>D6/C6*100</f>
        <v>75.84101317351727</v>
      </c>
      <c r="F6" s="442">
        <f>SUM(F7:F8)</f>
        <v>722</v>
      </c>
      <c r="G6" s="443">
        <f>SUM(G7:G8)</f>
        <v>461</v>
      </c>
      <c r="H6" s="444">
        <f aca="true" t="shared" si="0" ref="H6:H24">G6/F6*100</f>
        <v>63.850415512465375</v>
      </c>
      <c r="I6" s="442">
        <f>SUM(I7:I8)</f>
        <v>18409</v>
      </c>
      <c r="J6" s="445">
        <f>SUM(J7:J8)</f>
        <v>13875</v>
      </c>
      <c r="K6" s="446">
        <f aca="true" t="shared" si="1" ref="K6:K24">J6/I6*100</f>
        <v>75.37074257156824</v>
      </c>
    </row>
    <row r="7" spans="1:11" ht="21.75" customHeight="1">
      <c r="A7" s="440" t="s">
        <v>102</v>
      </c>
      <c r="B7" s="441" t="s">
        <v>43</v>
      </c>
      <c r="C7" s="442">
        <v>8905</v>
      </c>
      <c r="D7" s="443">
        <v>6355</v>
      </c>
      <c r="E7" s="444">
        <f>D7/C7*100</f>
        <v>71.36440202133633</v>
      </c>
      <c r="F7" s="442">
        <v>367</v>
      </c>
      <c r="G7" s="443">
        <v>214</v>
      </c>
      <c r="H7" s="444">
        <f t="shared" si="0"/>
        <v>58.31062670299727</v>
      </c>
      <c r="I7" s="442">
        <f>SUM(C7,F7)</f>
        <v>9272</v>
      </c>
      <c r="J7" s="447">
        <f>SUM(D7,G7)</f>
        <v>6569</v>
      </c>
      <c r="K7" s="446">
        <f t="shared" si="1"/>
        <v>70.84771354616049</v>
      </c>
    </row>
    <row r="8" spans="1:11" ht="21.75" customHeight="1">
      <c r="A8" s="440" t="s">
        <v>102</v>
      </c>
      <c r="B8" s="441" t="s">
        <v>44</v>
      </c>
      <c r="C8" s="442">
        <v>8782</v>
      </c>
      <c r="D8" s="443">
        <v>7059</v>
      </c>
      <c r="E8" s="444">
        <f>D8/C8*100</f>
        <v>80.38032338874972</v>
      </c>
      <c r="F8" s="442">
        <v>355</v>
      </c>
      <c r="G8" s="443">
        <v>247</v>
      </c>
      <c r="H8" s="446">
        <f t="shared" si="0"/>
        <v>69.57746478873239</v>
      </c>
      <c r="I8" s="442">
        <f>SUM(C8,F8)</f>
        <v>9137</v>
      </c>
      <c r="J8" s="447">
        <f>SUM(D8,G8)</f>
        <v>7306</v>
      </c>
      <c r="K8" s="446">
        <f t="shared" si="1"/>
        <v>79.96059975922076</v>
      </c>
    </row>
    <row r="9" spans="1:11" ht="12" customHeight="1">
      <c r="A9" s="440"/>
      <c r="B9" s="441"/>
      <c r="C9" s="442"/>
      <c r="D9" s="443"/>
      <c r="E9" s="444"/>
      <c r="F9" s="442"/>
      <c r="G9" s="443"/>
      <c r="H9" s="444"/>
      <c r="I9" s="442"/>
      <c r="J9" s="445"/>
      <c r="K9" s="446"/>
    </row>
    <row r="10" spans="1:11" ht="21.75" customHeight="1">
      <c r="A10" s="448" t="s">
        <v>137</v>
      </c>
      <c r="B10" s="441" t="s">
        <v>5</v>
      </c>
      <c r="C10" s="442">
        <f>SUM(C11:C12)</f>
        <v>4975</v>
      </c>
      <c r="D10" s="443">
        <f>SUM(D11:D12)</f>
        <v>1990</v>
      </c>
      <c r="E10" s="444">
        <f aca="true" t="shared" si="2" ref="E10:E24">D10/C10*100</f>
        <v>40</v>
      </c>
      <c r="F10" s="442">
        <f>SUM(F11:F12)</f>
        <v>280</v>
      </c>
      <c r="G10" s="443">
        <f>SUM(G11:G12)</f>
        <v>92</v>
      </c>
      <c r="H10" s="444">
        <f t="shared" si="0"/>
        <v>32.857142857142854</v>
      </c>
      <c r="I10" s="442">
        <f>SUM(I11:I12)</f>
        <v>5255</v>
      </c>
      <c r="J10" s="445">
        <f>SUM(J11:J12)</f>
        <v>2082</v>
      </c>
      <c r="K10" s="446">
        <f t="shared" si="1"/>
        <v>39.61941008563273</v>
      </c>
    </row>
    <row r="11" spans="1:11" ht="21.75" customHeight="1">
      <c r="A11" s="449"/>
      <c r="B11" s="441" t="s">
        <v>43</v>
      </c>
      <c r="C11" s="442">
        <v>2864</v>
      </c>
      <c r="D11" s="443">
        <v>1013</v>
      </c>
      <c r="E11" s="444">
        <f t="shared" si="2"/>
        <v>35.37011173184357</v>
      </c>
      <c r="F11" s="442">
        <v>163</v>
      </c>
      <c r="G11" s="443">
        <v>51</v>
      </c>
      <c r="H11" s="444">
        <f t="shared" si="0"/>
        <v>31.28834355828221</v>
      </c>
      <c r="I11" s="442">
        <f>SUM(C11,F11)</f>
        <v>3027</v>
      </c>
      <c r="J11" s="447">
        <f>SUM(D11,G11)</f>
        <v>1064</v>
      </c>
      <c r="K11" s="446">
        <f t="shared" si="1"/>
        <v>35.150313842087876</v>
      </c>
    </row>
    <row r="12" spans="1:11" ht="21.75" customHeight="1">
      <c r="A12" s="440"/>
      <c r="B12" s="441" t="s">
        <v>44</v>
      </c>
      <c r="C12" s="442">
        <v>2111</v>
      </c>
      <c r="D12" s="443">
        <v>977</v>
      </c>
      <c r="E12" s="444">
        <f t="shared" si="2"/>
        <v>46.281383230696356</v>
      </c>
      <c r="F12" s="442">
        <v>117</v>
      </c>
      <c r="G12" s="443">
        <v>41</v>
      </c>
      <c r="H12" s="446">
        <f t="shared" si="0"/>
        <v>35.04273504273504</v>
      </c>
      <c r="I12" s="442">
        <f>SUM(C12,F12)</f>
        <v>2228</v>
      </c>
      <c r="J12" s="447">
        <f>SUM(D12,G12)</f>
        <v>1018</v>
      </c>
      <c r="K12" s="446">
        <f t="shared" si="1"/>
        <v>45.69120287253142</v>
      </c>
    </row>
    <row r="13" spans="1:11" ht="12" customHeight="1">
      <c r="A13" s="440"/>
      <c r="B13" s="441"/>
      <c r="C13" s="442"/>
      <c r="D13" s="443"/>
      <c r="E13" s="444"/>
      <c r="F13" s="442"/>
      <c r="G13" s="443"/>
      <c r="H13" s="444"/>
      <c r="I13" s="442"/>
      <c r="J13" s="447"/>
      <c r="K13" s="446"/>
    </row>
    <row r="14" spans="1:12" ht="21" customHeight="1">
      <c r="A14" s="450" t="s">
        <v>138</v>
      </c>
      <c r="B14" s="441" t="s">
        <v>5</v>
      </c>
      <c r="C14" s="442">
        <f>SUM(C15:C16)</f>
        <v>22662</v>
      </c>
      <c r="D14" s="443">
        <f>SUM(D15:D16)</f>
        <v>15404</v>
      </c>
      <c r="E14" s="444">
        <f t="shared" si="2"/>
        <v>67.97281793310388</v>
      </c>
      <c r="F14" s="442">
        <f>SUM(F15:F16)</f>
        <v>1002</v>
      </c>
      <c r="G14" s="443">
        <f>SUM(G15:G16)</f>
        <v>553</v>
      </c>
      <c r="H14" s="444">
        <f t="shared" si="0"/>
        <v>55.18962075848304</v>
      </c>
      <c r="I14" s="442">
        <f>SUM(I15:I16)</f>
        <v>23664</v>
      </c>
      <c r="J14" s="447">
        <f>SUM(J15:J16)</f>
        <v>15957</v>
      </c>
      <c r="K14" s="446">
        <f t="shared" si="1"/>
        <v>67.4315415821501</v>
      </c>
      <c r="L14" s="451"/>
    </row>
    <row r="15" spans="1:11" ht="21.75" customHeight="1">
      <c r="A15" s="449"/>
      <c r="B15" s="441" t="s">
        <v>43</v>
      </c>
      <c r="C15" s="442">
        <v>11769</v>
      </c>
      <c r="D15" s="443">
        <v>7368</v>
      </c>
      <c r="E15" s="444">
        <f t="shared" si="2"/>
        <v>62.60514912057099</v>
      </c>
      <c r="F15" s="442">
        <v>530</v>
      </c>
      <c r="G15" s="443">
        <v>265</v>
      </c>
      <c r="H15" s="444">
        <f t="shared" si="0"/>
        <v>50</v>
      </c>
      <c r="I15" s="442">
        <f>SUM(C15,F15)</f>
        <v>12299</v>
      </c>
      <c r="J15" s="445">
        <f>SUM(D15,G15)</f>
        <v>7633</v>
      </c>
      <c r="K15" s="446">
        <f t="shared" si="1"/>
        <v>62.06195625660623</v>
      </c>
    </row>
    <row r="16" spans="1:11" ht="21.75" customHeight="1">
      <c r="A16" s="440"/>
      <c r="B16" s="441" t="s">
        <v>44</v>
      </c>
      <c r="C16" s="442">
        <v>10893</v>
      </c>
      <c r="D16" s="443">
        <v>8036</v>
      </c>
      <c r="E16" s="444">
        <f t="shared" si="2"/>
        <v>73.77214725052787</v>
      </c>
      <c r="F16" s="442">
        <v>472</v>
      </c>
      <c r="G16" s="443">
        <v>288</v>
      </c>
      <c r="H16" s="444">
        <f t="shared" si="0"/>
        <v>61.016949152542374</v>
      </c>
      <c r="I16" s="442">
        <f>SUM(C16,F16)</f>
        <v>11365</v>
      </c>
      <c r="J16" s="445">
        <f>SUM(D16,G16)</f>
        <v>8324</v>
      </c>
      <c r="K16" s="446">
        <f t="shared" si="1"/>
        <v>73.24241091069071</v>
      </c>
    </row>
    <row r="17" spans="1:11" ht="6.75" customHeight="1">
      <c r="A17" s="440"/>
      <c r="B17" s="441"/>
      <c r="C17" s="442"/>
      <c r="D17" s="443"/>
      <c r="E17" s="444"/>
      <c r="F17" s="442"/>
      <c r="G17" s="443"/>
      <c r="H17" s="444"/>
      <c r="I17" s="442"/>
      <c r="J17" s="447"/>
      <c r="K17" s="446"/>
    </row>
    <row r="18" spans="1:12" s="460" customFormat="1" ht="21.75" customHeight="1">
      <c r="A18" s="452" t="s">
        <v>139</v>
      </c>
      <c r="B18" s="453" t="s">
        <v>5</v>
      </c>
      <c r="C18" s="454">
        <f>SUM(C19:C20)</f>
        <v>2478</v>
      </c>
      <c r="D18" s="455">
        <f>SUM(D19:D20)</f>
        <v>796</v>
      </c>
      <c r="E18" s="456">
        <f t="shared" si="2"/>
        <v>32.1226795803067</v>
      </c>
      <c r="F18" s="454">
        <f>SUM(F19:F20)</f>
        <v>69</v>
      </c>
      <c r="G18" s="455">
        <f>SUM(G19:G20)</f>
        <v>21</v>
      </c>
      <c r="H18" s="456">
        <f t="shared" si="0"/>
        <v>30.434782608695656</v>
      </c>
      <c r="I18" s="454">
        <f>SUM(I19:I20)</f>
        <v>2547</v>
      </c>
      <c r="J18" s="457">
        <f>SUM(J19:J20)</f>
        <v>817</v>
      </c>
      <c r="K18" s="458">
        <f t="shared" si="1"/>
        <v>32.0769532783667</v>
      </c>
      <c r="L18" s="459"/>
    </row>
    <row r="19" spans="1:11" ht="21.75" customHeight="1">
      <c r="A19" s="440"/>
      <c r="B19" s="441" t="s">
        <v>43</v>
      </c>
      <c r="C19" s="442">
        <v>1453</v>
      </c>
      <c r="D19" s="443">
        <v>405</v>
      </c>
      <c r="E19" s="461">
        <f t="shared" si="2"/>
        <v>27.873365450791464</v>
      </c>
      <c r="F19" s="442">
        <v>35</v>
      </c>
      <c r="G19" s="443">
        <v>14</v>
      </c>
      <c r="H19" s="444">
        <f t="shared" si="0"/>
        <v>40</v>
      </c>
      <c r="I19" s="442">
        <f>SUM(C19,F19)</f>
        <v>1488</v>
      </c>
      <c r="J19" s="445">
        <f>SUM(D19,G19)</f>
        <v>419</v>
      </c>
      <c r="K19" s="446">
        <f t="shared" si="1"/>
        <v>28.158602150537636</v>
      </c>
    </row>
    <row r="20" spans="1:11" ht="21.75" customHeight="1">
      <c r="A20" s="440" t="s">
        <v>102</v>
      </c>
      <c r="B20" s="441" t="s">
        <v>44</v>
      </c>
      <c r="C20" s="442">
        <v>1025</v>
      </c>
      <c r="D20" s="443">
        <v>391</v>
      </c>
      <c r="E20" s="461">
        <f t="shared" si="2"/>
        <v>38.146341463414636</v>
      </c>
      <c r="F20" s="442">
        <v>34</v>
      </c>
      <c r="G20" s="443">
        <v>7</v>
      </c>
      <c r="H20" s="446">
        <f t="shared" si="0"/>
        <v>20.588235294117645</v>
      </c>
      <c r="I20" s="442">
        <f>SUM(C20,F20)</f>
        <v>1059</v>
      </c>
      <c r="J20" s="445">
        <f>SUM(D20,G20)</f>
        <v>398</v>
      </c>
      <c r="K20" s="446">
        <f t="shared" si="1"/>
        <v>37.582625118035885</v>
      </c>
    </row>
    <row r="21" spans="1:11" ht="12" customHeight="1">
      <c r="A21" s="462"/>
      <c r="B21" s="463"/>
      <c r="C21" s="464"/>
      <c r="D21" s="465"/>
      <c r="E21" s="466"/>
      <c r="F21" s="464"/>
      <c r="G21" s="465"/>
      <c r="H21" s="466"/>
      <c r="I21" s="464"/>
      <c r="J21" s="467"/>
      <c r="K21" s="468"/>
    </row>
    <row r="22" spans="1:12" s="460" customFormat="1" ht="35.25" customHeight="1">
      <c r="A22" s="469" t="s">
        <v>140</v>
      </c>
      <c r="B22" s="441" t="s">
        <v>5</v>
      </c>
      <c r="C22" s="470">
        <f aca="true" t="shared" si="3" ref="C22:D24">SUM(C18,C14)</f>
        <v>25140</v>
      </c>
      <c r="D22" s="443">
        <f t="shared" si="3"/>
        <v>16200</v>
      </c>
      <c r="E22" s="446">
        <f t="shared" si="2"/>
        <v>64.43914081145584</v>
      </c>
      <c r="F22" s="470">
        <f aca="true" t="shared" si="4" ref="F22:G24">SUM(F14,F18)</f>
        <v>1071</v>
      </c>
      <c r="G22" s="443">
        <f t="shared" si="4"/>
        <v>574</v>
      </c>
      <c r="H22" s="444">
        <f t="shared" si="0"/>
        <v>53.59477124183007</v>
      </c>
      <c r="I22" s="470">
        <f>SUM(I23:I24)</f>
        <v>26211</v>
      </c>
      <c r="J22" s="443">
        <f>SUM(J23:J24)</f>
        <v>16774</v>
      </c>
      <c r="K22" s="446">
        <f t="shared" si="1"/>
        <v>63.996032200221286</v>
      </c>
      <c r="L22" s="459"/>
    </row>
    <row r="23" spans="1:11" ht="21.75" customHeight="1">
      <c r="A23" s="440" t="s">
        <v>102</v>
      </c>
      <c r="B23" s="441" t="s">
        <v>43</v>
      </c>
      <c r="C23" s="470">
        <f t="shared" si="3"/>
        <v>13222</v>
      </c>
      <c r="D23" s="443">
        <f t="shared" si="3"/>
        <v>7773</v>
      </c>
      <c r="E23" s="446">
        <f t="shared" si="2"/>
        <v>58.78838299803358</v>
      </c>
      <c r="F23" s="470">
        <f t="shared" si="4"/>
        <v>565</v>
      </c>
      <c r="G23" s="443">
        <f t="shared" si="4"/>
        <v>279</v>
      </c>
      <c r="H23" s="446">
        <f t="shared" si="0"/>
        <v>49.38053097345133</v>
      </c>
      <c r="I23" s="442">
        <f>SUM(C23,F23)</f>
        <v>13787</v>
      </c>
      <c r="J23" s="445">
        <f>SUM(D23,G23)</f>
        <v>8052</v>
      </c>
      <c r="K23" s="446">
        <f t="shared" si="1"/>
        <v>58.40284325814172</v>
      </c>
    </row>
    <row r="24" spans="1:11" ht="21.75" customHeight="1">
      <c r="A24" s="471" t="s">
        <v>102</v>
      </c>
      <c r="B24" s="472" t="s">
        <v>44</v>
      </c>
      <c r="C24" s="473">
        <f t="shared" si="3"/>
        <v>11918</v>
      </c>
      <c r="D24" s="474">
        <f t="shared" si="3"/>
        <v>8427</v>
      </c>
      <c r="E24" s="475">
        <f t="shared" si="2"/>
        <v>70.70817251216647</v>
      </c>
      <c r="F24" s="473">
        <f t="shared" si="4"/>
        <v>506</v>
      </c>
      <c r="G24" s="474">
        <f t="shared" si="4"/>
        <v>295</v>
      </c>
      <c r="H24" s="475">
        <f t="shared" si="0"/>
        <v>58.30039525691699</v>
      </c>
      <c r="I24" s="476">
        <f>SUM(C24,F24)</f>
        <v>12424</v>
      </c>
      <c r="J24" s="477">
        <f>SUM(D24,G24)</f>
        <v>8722</v>
      </c>
      <c r="K24" s="475">
        <f t="shared" si="1"/>
        <v>70.20283322601416</v>
      </c>
    </row>
    <row r="25" spans="1:11" ht="19.5" customHeight="1">
      <c r="A25" s="142" t="s">
        <v>134</v>
      </c>
      <c r="B25" s="142"/>
      <c r="C25" s="142"/>
      <c r="D25" s="447"/>
      <c r="E25" s="478"/>
      <c r="F25" s="447"/>
      <c r="G25" s="447"/>
      <c r="H25" s="478"/>
      <c r="I25" s="447"/>
      <c r="J25" s="447"/>
      <c r="K25" s="478"/>
    </row>
    <row r="26" spans="1:5" ht="12.75" customHeight="1">
      <c r="A26" s="142"/>
      <c r="E26" s="479"/>
    </row>
    <row r="27" ht="15">
      <c r="E27" s="480"/>
    </row>
    <row r="28" ht="15">
      <c r="E28" s="480"/>
    </row>
    <row r="29" ht="15">
      <c r="E29" s="480"/>
    </row>
    <row r="30" spans="1:5" ht="15">
      <c r="A30" s="481"/>
      <c r="E30" s="480"/>
    </row>
    <row r="31" spans="1:5" ht="15">
      <c r="A31" s="482"/>
      <c r="E31" s="480"/>
    </row>
    <row r="32" ht="15">
      <c r="E32" s="480"/>
    </row>
    <row r="33" ht="15">
      <c r="E33" s="480"/>
    </row>
    <row r="34" ht="15">
      <c r="E34" s="480"/>
    </row>
    <row r="35" ht="15">
      <c r="E35" s="480"/>
    </row>
  </sheetData>
  <sheetProtection/>
  <mergeCells count="3">
    <mergeCell ref="C3:E3"/>
    <mergeCell ref="F3:H3"/>
    <mergeCell ref="I3:K3"/>
  </mergeCells>
  <printOptions/>
  <pageMargins left="0.5" right="0.31" top="0.64" bottom="0.38" header="0.25" footer="0.19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36"/>
  <sheetViews>
    <sheetView zoomScalePageLayoutView="0" workbookViewId="0" topLeftCell="A7">
      <selection activeCell="C18" sqref="C18"/>
    </sheetView>
  </sheetViews>
  <sheetFormatPr defaultColWidth="9.140625" defaultRowHeight="12.75"/>
  <cols>
    <col min="1" max="1" width="26.7109375" style="485" customWidth="1"/>
    <col min="2" max="2" width="6.7109375" style="485" customWidth="1"/>
    <col min="3" max="3" width="8.57421875" style="485" customWidth="1"/>
    <col min="4" max="9" width="8.28125" style="485" customWidth="1"/>
    <col min="39" max="16384" width="9.140625" style="485" customWidth="1"/>
  </cols>
  <sheetData>
    <row r="1" spans="1:38" s="483" customFormat="1" ht="26.25" customHeight="1">
      <c r="A1" s="483" t="s">
        <v>354</v>
      </c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84"/>
      <c r="AI1" s="484"/>
      <c r="AJ1" s="484"/>
      <c r="AK1" s="484"/>
      <c r="AL1" s="484"/>
    </row>
    <row r="2" ht="17.25" customHeight="1"/>
    <row r="3" spans="1:38" s="491" customFormat="1" ht="16.5" customHeight="1">
      <c r="A3" s="486"/>
      <c r="B3" s="487"/>
      <c r="C3" s="1431" t="s">
        <v>144</v>
      </c>
      <c r="D3" s="488" t="s">
        <v>141</v>
      </c>
      <c r="E3" s="488"/>
      <c r="F3" s="488"/>
      <c r="G3" s="488"/>
      <c r="H3" s="488"/>
      <c r="I3" s="489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  <c r="W3" s="490"/>
      <c r="X3" s="490"/>
      <c r="Y3" s="490"/>
      <c r="Z3" s="490"/>
      <c r="AA3" s="490"/>
      <c r="AB3" s="490"/>
      <c r="AC3" s="490"/>
      <c r="AD3" s="490"/>
      <c r="AE3" s="490"/>
      <c r="AF3" s="490"/>
      <c r="AG3" s="490"/>
      <c r="AH3" s="490"/>
      <c r="AI3" s="490"/>
      <c r="AJ3" s="490"/>
      <c r="AK3" s="490"/>
      <c r="AL3" s="490"/>
    </row>
    <row r="4" spans="1:38" s="491" customFormat="1" ht="16.5" customHeight="1">
      <c r="A4" s="492" t="s">
        <v>16</v>
      </c>
      <c r="B4" s="493"/>
      <c r="C4" s="1432"/>
      <c r="D4" s="1434" t="s">
        <v>145</v>
      </c>
      <c r="E4" s="1435"/>
      <c r="F4" s="494" t="s">
        <v>142</v>
      </c>
      <c r="G4" s="494"/>
      <c r="H4" s="494"/>
      <c r="I4" s="495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490"/>
      <c r="X4" s="490"/>
      <c r="Y4" s="490"/>
      <c r="Z4" s="490"/>
      <c r="AA4" s="490"/>
      <c r="AB4" s="490"/>
      <c r="AC4" s="490"/>
      <c r="AD4" s="490"/>
      <c r="AE4" s="490"/>
      <c r="AF4" s="490"/>
      <c r="AG4" s="490"/>
      <c r="AH4" s="490"/>
      <c r="AI4" s="490"/>
      <c r="AJ4" s="490"/>
      <c r="AK4" s="490"/>
      <c r="AL4" s="490"/>
    </row>
    <row r="5" spans="1:38" s="491" customFormat="1" ht="16.5" customHeight="1">
      <c r="A5" s="496"/>
      <c r="B5" s="497"/>
      <c r="C5" s="1432"/>
      <c r="D5" s="1436"/>
      <c r="E5" s="1437"/>
      <c r="F5" s="494" t="s">
        <v>146</v>
      </c>
      <c r="G5" s="495"/>
      <c r="H5" s="498" t="s">
        <v>57</v>
      </c>
      <c r="I5" s="495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  <c r="AH5" s="490"/>
      <c r="AI5" s="490"/>
      <c r="AJ5" s="490"/>
      <c r="AK5" s="490"/>
      <c r="AL5" s="490"/>
    </row>
    <row r="6" spans="1:38" s="491" customFormat="1" ht="19.5" customHeight="1">
      <c r="A6" s="499"/>
      <c r="B6" s="500"/>
      <c r="C6" s="1433"/>
      <c r="D6" s="501" t="s">
        <v>58</v>
      </c>
      <c r="E6" s="502" t="s">
        <v>7</v>
      </c>
      <c r="F6" s="501" t="s">
        <v>58</v>
      </c>
      <c r="G6" s="503" t="s">
        <v>7</v>
      </c>
      <c r="H6" s="504" t="s">
        <v>58</v>
      </c>
      <c r="I6" s="505" t="s">
        <v>7</v>
      </c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  <c r="AK6" s="490"/>
      <c r="AL6" s="490"/>
    </row>
    <row r="7" spans="1:38" s="491" customFormat="1" ht="24.75" customHeight="1">
      <c r="A7" s="506" t="s">
        <v>59</v>
      </c>
      <c r="B7" s="497"/>
      <c r="C7" s="507">
        <v>28</v>
      </c>
      <c r="D7" s="508">
        <v>8</v>
      </c>
      <c r="E7" s="509">
        <f>(D7/C7)*100</f>
        <v>28.57142857142857</v>
      </c>
      <c r="F7" s="508">
        <v>16</v>
      </c>
      <c r="G7" s="509">
        <f aca="true" t="shared" si="0" ref="G7:G16">(F7/C7)*100</f>
        <v>57.14285714285714</v>
      </c>
      <c r="H7" s="510">
        <v>4</v>
      </c>
      <c r="I7" s="511">
        <f>H7/C7*100</f>
        <v>14.285714285714285</v>
      </c>
      <c r="J7" s="490"/>
      <c r="K7" s="512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90"/>
      <c r="AH7" s="490"/>
      <c r="AI7" s="490"/>
      <c r="AJ7" s="490"/>
      <c r="AK7" s="490"/>
      <c r="AL7" s="490"/>
    </row>
    <row r="8" spans="1:38" s="491" customFormat="1" ht="24.75" customHeight="1">
      <c r="A8" s="506" t="s">
        <v>60</v>
      </c>
      <c r="B8" s="497"/>
      <c r="C8" s="507">
        <v>15</v>
      </c>
      <c r="D8" s="508">
        <v>8</v>
      </c>
      <c r="E8" s="509">
        <f aca="true" t="shared" si="1" ref="E8:E18">(D8/C8)*100</f>
        <v>53.333333333333336</v>
      </c>
      <c r="F8" s="508">
        <v>7</v>
      </c>
      <c r="G8" s="509">
        <f t="shared" si="0"/>
        <v>46.666666666666664</v>
      </c>
      <c r="H8" s="513">
        <v>0</v>
      </c>
      <c r="I8" s="514">
        <f>H8/C8*100</f>
        <v>0</v>
      </c>
      <c r="J8" s="490"/>
      <c r="K8" s="512"/>
      <c r="L8" s="490"/>
      <c r="M8" s="490"/>
      <c r="N8" s="490"/>
      <c r="O8" s="490"/>
      <c r="P8" s="490"/>
      <c r="Q8" s="490"/>
      <c r="R8" s="490"/>
      <c r="S8" s="490"/>
      <c r="T8" s="490"/>
      <c r="U8" s="490"/>
      <c r="V8" s="490"/>
      <c r="W8" s="490"/>
      <c r="X8" s="490"/>
      <c r="Y8" s="490"/>
      <c r="Z8" s="490"/>
      <c r="AA8" s="490"/>
      <c r="AB8" s="490"/>
      <c r="AC8" s="490"/>
      <c r="AD8" s="490"/>
      <c r="AE8" s="490"/>
      <c r="AF8" s="490"/>
      <c r="AG8" s="490"/>
      <c r="AH8" s="490"/>
      <c r="AI8" s="490"/>
      <c r="AJ8" s="490"/>
      <c r="AK8" s="490"/>
      <c r="AL8" s="490"/>
    </row>
    <row r="9" spans="1:38" s="491" customFormat="1" ht="24.75" customHeight="1">
      <c r="A9" s="506" t="s">
        <v>62</v>
      </c>
      <c r="B9" s="497"/>
      <c r="C9" s="507">
        <v>13</v>
      </c>
      <c r="D9" s="508">
        <v>6</v>
      </c>
      <c r="E9" s="509">
        <f t="shared" si="1"/>
        <v>46.15384615384615</v>
      </c>
      <c r="F9" s="508">
        <v>5</v>
      </c>
      <c r="G9" s="509">
        <f t="shared" si="0"/>
        <v>38.46153846153847</v>
      </c>
      <c r="H9" s="510">
        <v>2</v>
      </c>
      <c r="I9" s="511">
        <f>H9/C9*100</f>
        <v>15.384615384615385</v>
      </c>
      <c r="J9" s="490"/>
      <c r="K9" s="512"/>
      <c r="L9" s="490"/>
      <c r="M9" s="490"/>
      <c r="N9" s="490"/>
      <c r="O9" s="490"/>
      <c r="P9" s="490"/>
      <c r="Q9" s="490"/>
      <c r="R9" s="490"/>
      <c r="S9" s="490"/>
      <c r="T9" s="490"/>
      <c r="U9" s="490"/>
      <c r="V9" s="490"/>
      <c r="W9" s="490"/>
      <c r="X9" s="490"/>
      <c r="Y9" s="490"/>
      <c r="Z9" s="490"/>
      <c r="AA9" s="490"/>
      <c r="AB9" s="490"/>
      <c r="AC9" s="490"/>
      <c r="AD9" s="490"/>
      <c r="AE9" s="490"/>
      <c r="AF9" s="490"/>
      <c r="AG9" s="490"/>
      <c r="AH9" s="490"/>
      <c r="AI9" s="490"/>
      <c r="AJ9" s="490"/>
      <c r="AK9" s="490"/>
      <c r="AL9" s="490"/>
    </row>
    <row r="10" spans="1:38" s="491" customFormat="1" ht="24.75" customHeight="1">
      <c r="A10" s="506" t="s">
        <v>63</v>
      </c>
      <c r="B10" s="497"/>
      <c r="C10" s="507">
        <v>15</v>
      </c>
      <c r="D10" s="508">
        <v>8</v>
      </c>
      <c r="E10" s="509">
        <f t="shared" si="1"/>
        <v>53.333333333333336</v>
      </c>
      <c r="F10" s="508">
        <v>7</v>
      </c>
      <c r="G10" s="509">
        <f t="shared" si="0"/>
        <v>46.666666666666664</v>
      </c>
      <c r="H10" s="513">
        <v>0</v>
      </c>
      <c r="I10" s="514">
        <v>0</v>
      </c>
      <c r="J10" s="490"/>
      <c r="K10" s="512"/>
      <c r="L10" s="490"/>
      <c r="M10" s="490"/>
      <c r="N10" s="490"/>
      <c r="O10" s="490"/>
      <c r="P10" s="490"/>
      <c r="Q10" s="490"/>
      <c r="R10" s="490"/>
      <c r="S10" s="490"/>
      <c r="T10" s="490"/>
      <c r="U10" s="490"/>
      <c r="V10" s="490"/>
      <c r="W10" s="490"/>
      <c r="X10" s="490"/>
      <c r="Y10" s="490"/>
      <c r="Z10" s="490"/>
      <c r="AA10" s="490"/>
      <c r="AB10" s="490"/>
      <c r="AC10" s="490"/>
      <c r="AD10" s="490"/>
      <c r="AE10" s="490"/>
      <c r="AF10" s="490"/>
      <c r="AG10" s="490"/>
      <c r="AH10" s="490"/>
      <c r="AI10" s="490"/>
      <c r="AJ10" s="490"/>
      <c r="AK10" s="490"/>
      <c r="AL10" s="490"/>
    </row>
    <row r="11" spans="1:38" s="491" customFormat="1" ht="24.75" customHeight="1">
      <c r="A11" s="506" t="s">
        <v>64</v>
      </c>
      <c r="B11" s="497"/>
      <c r="C11" s="507">
        <v>11</v>
      </c>
      <c r="D11" s="508">
        <v>4</v>
      </c>
      <c r="E11" s="509">
        <f t="shared" si="1"/>
        <v>36.36363636363637</v>
      </c>
      <c r="F11" s="508">
        <v>7</v>
      </c>
      <c r="G11" s="509">
        <f t="shared" si="0"/>
        <v>63.63636363636363</v>
      </c>
      <c r="H11" s="513">
        <v>0</v>
      </c>
      <c r="I11" s="514">
        <v>0</v>
      </c>
      <c r="J11" s="490"/>
      <c r="K11" s="512"/>
      <c r="L11" s="490"/>
      <c r="M11" s="490"/>
      <c r="N11" s="490"/>
      <c r="O11" s="490"/>
      <c r="P11" s="490"/>
      <c r="Q11" s="490"/>
      <c r="R11" s="490"/>
      <c r="S11" s="490"/>
      <c r="T11" s="490"/>
      <c r="U11" s="490"/>
      <c r="V11" s="490"/>
      <c r="W11" s="490"/>
      <c r="X11" s="490"/>
      <c r="Y11" s="490"/>
      <c r="Z11" s="490"/>
      <c r="AA11" s="490"/>
      <c r="AB11" s="490"/>
      <c r="AC11" s="490"/>
      <c r="AD11" s="490"/>
      <c r="AE11" s="490"/>
      <c r="AF11" s="490"/>
      <c r="AG11" s="490"/>
      <c r="AH11" s="490"/>
      <c r="AI11" s="490"/>
      <c r="AJ11" s="490"/>
      <c r="AK11" s="490"/>
      <c r="AL11" s="490"/>
    </row>
    <row r="12" spans="1:38" s="491" customFormat="1" ht="24.75" customHeight="1">
      <c r="A12" s="506" t="s">
        <v>65</v>
      </c>
      <c r="B12" s="497"/>
      <c r="C12" s="507">
        <v>7</v>
      </c>
      <c r="D12" s="508">
        <v>4</v>
      </c>
      <c r="E12" s="509">
        <f t="shared" si="1"/>
        <v>57.14285714285714</v>
      </c>
      <c r="F12" s="508">
        <v>3</v>
      </c>
      <c r="G12" s="509">
        <f t="shared" si="0"/>
        <v>42.857142857142854</v>
      </c>
      <c r="H12" s="513">
        <v>0</v>
      </c>
      <c r="I12" s="514">
        <v>0</v>
      </c>
      <c r="J12" s="490"/>
      <c r="K12" s="512"/>
      <c r="L12" s="490"/>
      <c r="M12" s="490"/>
      <c r="N12" s="490"/>
      <c r="O12" s="490"/>
      <c r="P12" s="490"/>
      <c r="Q12" s="490"/>
      <c r="R12" s="490"/>
      <c r="S12" s="490"/>
      <c r="T12" s="490"/>
      <c r="U12" s="490"/>
      <c r="V12" s="490"/>
      <c r="W12" s="490"/>
      <c r="X12" s="490"/>
      <c r="Y12" s="490"/>
      <c r="Z12" s="490"/>
      <c r="AA12" s="490"/>
      <c r="AB12" s="490"/>
      <c r="AC12" s="490"/>
      <c r="AD12" s="490"/>
      <c r="AE12" s="490"/>
      <c r="AF12" s="490"/>
      <c r="AG12" s="490"/>
      <c r="AH12" s="490"/>
      <c r="AI12" s="490"/>
      <c r="AJ12" s="490"/>
      <c r="AK12" s="490"/>
      <c r="AL12" s="490"/>
    </row>
    <row r="13" spans="1:38" s="491" customFormat="1" ht="24.75" customHeight="1">
      <c r="A13" s="506" t="s">
        <v>66</v>
      </c>
      <c r="B13" s="497"/>
      <c r="C13" s="507">
        <v>68</v>
      </c>
      <c r="D13" s="508">
        <v>23</v>
      </c>
      <c r="E13" s="509">
        <f t="shared" si="1"/>
        <v>33.82352941176471</v>
      </c>
      <c r="F13" s="508">
        <v>36</v>
      </c>
      <c r="G13" s="509">
        <f t="shared" si="0"/>
        <v>52.94117647058824</v>
      </c>
      <c r="H13" s="510">
        <v>9</v>
      </c>
      <c r="I13" s="511">
        <f>H13/C13*100</f>
        <v>13.23529411764706</v>
      </c>
      <c r="J13" s="490"/>
      <c r="K13" s="512"/>
      <c r="L13" s="490"/>
      <c r="M13" s="490"/>
      <c r="N13" s="490"/>
      <c r="O13" s="490"/>
      <c r="P13" s="490"/>
      <c r="Q13" s="490"/>
      <c r="R13" s="490"/>
      <c r="S13" s="490"/>
      <c r="T13" s="490"/>
      <c r="U13" s="490"/>
      <c r="V13" s="490"/>
      <c r="W13" s="490"/>
      <c r="X13" s="490"/>
      <c r="Y13" s="490"/>
      <c r="Z13" s="490"/>
      <c r="AA13" s="490"/>
      <c r="AB13" s="490"/>
      <c r="AC13" s="490"/>
      <c r="AD13" s="490"/>
      <c r="AE13" s="490"/>
      <c r="AF13" s="490"/>
      <c r="AG13" s="490"/>
      <c r="AH13" s="490"/>
      <c r="AI13" s="490"/>
      <c r="AJ13" s="490"/>
      <c r="AK13" s="490"/>
      <c r="AL13" s="490"/>
    </row>
    <row r="14" spans="1:38" s="491" customFormat="1" ht="24.75" customHeight="1">
      <c r="A14" s="506" t="s">
        <v>67</v>
      </c>
      <c r="B14" s="497"/>
      <c r="C14" s="507">
        <v>12</v>
      </c>
      <c r="D14" s="508">
        <v>5</v>
      </c>
      <c r="E14" s="509">
        <f t="shared" si="1"/>
        <v>41.66666666666667</v>
      </c>
      <c r="F14" s="508">
        <v>4</v>
      </c>
      <c r="G14" s="509">
        <f t="shared" si="0"/>
        <v>33.33333333333333</v>
      </c>
      <c r="H14" s="510">
        <v>3</v>
      </c>
      <c r="I14" s="511">
        <f>H14/C14*100</f>
        <v>25</v>
      </c>
      <c r="J14" s="490"/>
      <c r="K14" s="512"/>
      <c r="L14" s="490"/>
      <c r="M14" s="490"/>
      <c r="N14" s="490"/>
      <c r="O14" s="490"/>
      <c r="P14" s="490"/>
      <c r="Q14" s="490"/>
      <c r="R14" s="490"/>
      <c r="S14" s="490"/>
      <c r="T14" s="490"/>
      <c r="U14" s="490"/>
      <c r="V14" s="490"/>
      <c r="W14" s="490"/>
      <c r="X14" s="490"/>
      <c r="Y14" s="490"/>
      <c r="Z14" s="490"/>
      <c r="AA14" s="490"/>
      <c r="AB14" s="490"/>
      <c r="AC14" s="490"/>
      <c r="AD14" s="490"/>
      <c r="AE14" s="490"/>
      <c r="AF14" s="490"/>
      <c r="AG14" s="490"/>
      <c r="AH14" s="490"/>
      <c r="AI14" s="490"/>
      <c r="AJ14" s="490"/>
      <c r="AK14" s="490"/>
      <c r="AL14" s="490"/>
    </row>
    <row r="15" spans="1:38" s="491" customFormat="1" ht="24.75" customHeight="1">
      <c r="A15" s="506" t="s">
        <v>68</v>
      </c>
      <c r="B15" s="497"/>
      <c r="C15" s="515">
        <v>5</v>
      </c>
      <c r="D15" s="508">
        <v>3</v>
      </c>
      <c r="E15" s="516">
        <f t="shared" si="1"/>
        <v>60</v>
      </c>
      <c r="F15" s="508">
        <v>2</v>
      </c>
      <c r="G15" s="516">
        <f t="shared" si="0"/>
        <v>40</v>
      </c>
      <c r="H15" s="513">
        <v>0</v>
      </c>
      <c r="I15" s="517">
        <v>0</v>
      </c>
      <c r="J15" s="490"/>
      <c r="K15" s="512"/>
      <c r="L15" s="490"/>
      <c r="M15" s="490"/>
      <c r="N15" s="490"/>
      <c r="O15" s="490"/>
      <c r="P15" s="490"/>
      <c r="Q15" s="490"/>
      <c r="R15" s="490"/>
      <c r="S15" s="490"/>
      <c r="T15" s="490"/>
      <c r="U15" s="490"/>
      <c r="V15" s="490"/>
      <c r="W15" s="490"/>
      <c r="X15" s="490"/>
      <c r="Y15" s="490"/>
      <c r="Z15" s="490"/>
      <c r="AA15" s="490"/>
      <c r="AB15" s="490"/>
      <c r="AC15" s="490"/>
      <c r="AD15" s="490"/>
      <c r="AE15" s="490"/>
      <c r="AF15" s="490"/>
      <c r="AG15" s="490"/>
      <c r="AH15" s="490"/>
      <c r="AI15" s="490"/>
      <c r="AJ15" s="490"/>
      <c r="AK15" s="490"/>
      <c r="AL15" s="490"/>
    </row>
    <row r="16" spans="1:38" s="491" customFormat="1" ht="24.75" customHeight="1">
      <c r="A16" s="486" t="s">
        <v>69</v>
      </c>
      <c r="B16" s="487"/>
      <c r="C16" s="507">
        <f>SUM(C7:C15)</f>
        <v>174</v>
      </c>
      <c r="D16" s="518">
        <f>SUM(D7:D15)</f>
        <v>69</v>
      </c>
      <c r="E16" s="519">
        <f t="shared" si="1"/>
        <v>39.6551724137931</v>
      </c>
      <c r="F16" s="520">
        <f>SUM(F7:F15)</f>
        <v>87</v>
      </c>
      <c r="G16" s="519">
        <f t="shared" si="0"/>
        <v>50</v>
      </c>
      <c r="H16" s="521">
        <f>SUM(H7:H15)</f>
        <v>18</v>
      </c>
      <c r="I16" s="519">
        <f>H16/C16*100</f>
        <v>10.344827586206897</v>
      </c>
      <c r="J16" s="490"/>
      <c r="K16" s="512"/>
      <c r="L16" s="490"/>
      <c r="M16" s="490"/>
      <c r="N16" s="490"/>
      <c r="O16" s="490"/>
      <c r="P16" s="490"/>
      <c r="Q16" s="490"/>
      <c r="R16" s="490"/>
      <c r="S16" s="490"/>
      <c r="T16" s="490"/>
      <c r="U16" s="490"/>
      <c r="V16" s="490"/>
      <c r="W16" s="490"/>
      <c r="X16" s="490"/>
      <c r="Y16" s="490"/>
      <c r="Z16" s="490"/>
      <c r="AA16" s="490"/>
      <c r="AB16" s="490"/>
      <c r="AC16" s="490"/>
      <c r="AD16" s="490"/>
      <c r="AE16" s="490"/>
      <c r="AF16" s="490"/>
      <c r="AG16" s="490"/>
      <c r="AH16" s="490"/>
      <c r="AI16" s="490"/>
      <c r="AJ16" s="490"/>
      <c r="AK16" s="490"/>
      <c r="AL16" s="490"/>
    </row>
    <row r="17" spans="1:38" s="491" customFormat="1" ht="24.75" customHeight="1">
      <c r="A17" s="506" t="s">
        <v>70</v>
      </c>
      <c r="B17" s="497"/>
      <c r="C17" s="515">
        <v>5</v>
      </c>
      <c r="D17" s="1210">
        <v>0</v>
      </c>
      <c r="E17" s="1209">
        <v>0</v>
      </c>
      <c r="F17" s="523">
        <v>5</v>
      </c>
      <c r="G17" s="989">
        <v>100</v>
      </c>
      <c r="H17" s="524">
        <v>0</v>
      </c>
      <c r="I17" s="525">
        <v>0</v>
      </c>
      <c r="J17" s="490"/>
      <c r="K17" s="512"/>
      <c r="L17" s="490"/>
      <c r="M17" s="490"/>
      <c r="N17" s="490"/>
      <c r="O17" s="490"/>
      <c r="P17" s="490"/>
      <c r="Q17" s="490"/>
      <c r="R17" s="490"/>
      <c r="S17" s="490"/>
      <c r="T17" s="490"/>
      <c r="U17" s="490"/>
      <c r="V17" s="490"/>
      <c r="W17" s="490"/>
      <c r="X17" s="490"/>
      <c r="Y17" s="490"/>
      <c r="Z17" s="490"/>
      <c r="AA17" s="490"/>
      <c r="AB17" s="490"/>
      <c r="AC17" s="490"/>
      <c r="AD17" s="490"/>
      <c r="AE17" s="490"/>
      <c r="AF17" s="490"/>
      <c r="AG17" s="490"/>
      <c r="AH17" s="490"/>
      <c r="AI17" s="490"/>
      <c r="AJ17" s="490"/>
      <c r="AK17" s="490"/>
      <c r="AL17" s="490"/>
    </row>
    <row r="18" spans="1:38" s="491" customFormat="1" ht="24.75" customHeight="1">
      <c r="A18" s="526" t="s">
        <v>71</v>
      </c>
      <c r="B18" s="527"/>
      <c r="C18" s="528">
        <f>D18+F18+H18</f>
        <v>179</v>
      </c>
      <c r="D18" s="529">
        <f>SUM(D16+D17)</f>
        <v>69</v>
      </c>
      <c r="E18" s="516">
        <f t="shared" si="1"/>
        <v>38.547486033519554</v>
      </c>
      <c r="F18" s="529">
        <f>SUM(F16+F17)</f>
        <v>92</v>
      </c>
      <c r="G18" s="516">
        <f>F18/C18*100</f>
        <v>51.39664804469274</v>
      </c>
      <c r="H18" s="530">
        <f>SUM(H16:H17)</f>
        <v>18</v>
      </c>
      <c r="I18" s="516">
        <f>H18/C18*100</f>
        <v>10.05586592178771</v>
      </c>
      <c r="J18" s="490"/>
      <c r="K18" s="512"/>
      <c r="L18" s="490"/>
      <c r="M18" s="490"/>
      <c r="N18" s="490"/>
      <c r="O18" s="490"/>
      <c r="P18" s="490"/>
      <c r="Q18" s="490"/>
      <c r="R18" s="490"/>
      <c r="S18" s="490"/>
      <c r="T18" s="490"/>
      <c r="U18" s="490"/>
      <c r="V18" s="490"/>
      <c r="W18" s="490"/>
      <c r="X18" s="490"/>
      <c r="Y18" s="490"/>
      <c r="Z18" s="490"/>
      <c r="AA18" s="490"/>
      <c r="AB18" s="490"/>
      <c r="AC18" s="490"/>
      <c r="AD18" s="490"/>
      <c r="AE18" s="490"/>
      <c r="AF18" s="490"/>
      <c r="AG18" s="490"/>
      <c r="AH18" s="490"/>
      <c r="AI18" s="490"/>
      <c r="AJ18" s="490"/>
      <c r="AK18" s="490"/>
      <c r="AL18" s="490"/>
    </row>
    <row r="19" spans="10:38" s="491" customFormat="1" ht="18.75" customHeight="1">
      <c r="J19" s="490"/>
      <c r="K19" s="490"/>
      <c r="L19" s="490"/>
      <c r="M19" s="490"/>
      <c r="N19" s="490"/>
      <c r="O19" s="490"/>
      <c r="P19" s="490"/>
      <c r="Q19" s="490"/>
      <c r="R19" s="490"/>
      <c r="S19" s="490"/>
      <c r="T19" s="490"/>
      <c r="U19" s="490"/>
      <c r="V19" s="490"/>
      <c r="W19" s="490"/>
      <c r="X19" s="490"/>
      <c r="Y19" s="490"/>
      <c r="Z19" s="490"/>
      <c r="AA19" s="490"/>
      <c r="AB19" s="490"/>
      <c r="AC19" s="490"/>
      <c r="AD19" s="490"/>
      <c r="AE19" s="490"/>
      <c r="AF19" s="490"/>
      <c r="AG19" s="490"/>
      <c r="AH19" s="490"/>
      <c r="AI19" s="490"/>
      <c r="AJ19" s="490"/>
      <c r="AK19" s="490"/>
      <c r="AL19" s="490"/>
    </row>
    <row r="20" spans="1:38" s="483" customFormat="1" ht="15" customHeight="1">
      <c r="A20" s="483" t="s">
        <v>355</v>
      </c>
      <c r="J20" s="484"/>
      <c r="K20" s="484"/>
      <c r="L20" s="484"/>
      <c r="M20" s="484"/>
      <c r="N20" s="484"/>
      <c r="O20" s="484"/>
      <c r="P20" s="484"/>
      <c r="Q20" s="484"/>
      <c r="R20" s="484"/>
      <c r="S20" s="484"/>
      <c r="T20" s="484"/>
      <c r="U20" s="484"/>
      <c r="V20" s="484"/>
      <c r="W20" s="484"/>
      <c r="X20" s="484"/>
      <c r="Y20" s="484"/>
      <c r="Z20" s="484"/>
      <c r="AA20" s="484"/>
      <c r="AB20" s="484"/>
      <c r="AC20" s="484"/>
      <c r="AD20" s="484"/>
      <c r="AE20" s="484"/>
      <c r="AF20" s="484"/>
      <c r="AG20" s="484"/>
      <c r="AH20" s="484"/>
      <c r="AI20" s="484"/>
      <c r="AJ20" s="484"/>
      <c r="AK20" s="484"/>
      <c r="AL20" s="484"/>
    </row>
    <row r="21" spans="10:38" s="491" customFormat="1" ht="13.5" customHeight="1">
      <c r="J21" s="490"/>
      <c r="K21" s="490"/>
      <c r="L21" s="490"/>
      <c r="M21" s="490"/>
      <c r="N21" s="490"/>
      <c r="O21" s="490"/>
      <c r="P21" s="490"/>
      <c r="Q21" s="490"/>
      <c r="R21" s="490"/>
      <c r="S21" s="490"/>
      <c r="T21" s="490"/>
      <c r="U21" s="490"/>
      <c r="V21" s="490"/>
      <c r="W21" s="490"/>
      <c r="X21" s="490"/>
      <c r="Y21" s="490"/>
      <c r="Z21" s="490"/>
      <c r="AA21" s="490"/>
      <c r="AB21" s="490"/>
      <c r="AC21" s="490"/>
      <c r="AD21" s="490"/>
      <c r="AE21" s="490"/>
      <c r="AF21" s="490"/>
      <c r="AG21" s="490"/>
      <c r="AH21" s="490"/>
      <c r="AI21" s="490"/>
      <c r="AJ21" s="490"/>
      <c r="AK21" s="490"/>
      <c r="AL21" s="490"/>
    </row>
    <row r="22" spans="1:38" s="491" customFormat="1" ht="18.75" customHeight="1">
      <c r="A22" s="486"/>
      <c r="B22" s="487"/>
      <c r="C22" s="1431" t="s">
        <v>144</v>
      </c>
      <c r="D22" s="488" t="s">
        <v>141</v>
      </c>
      <c r="E22" s="488"/>
      <c r="F22" s="488"/>
      <c r="G22" s="488"/>
      <c r="H22" s="488"/>
      <c r="I22" s="489"/>
      <c r="J22" s="490"/>
      <c r="K22" s="490"/>
      <c r="L22" s="490"/>
      <c r="M22" s="490"/>
      <c r="N22" s="490"/>
      <c r="O22" s="490"/>
      <c r="P22" s="490"/>
      <c r="Q22" s="490"/>
      <c r="R22" s="490"/>
      <c r="S22" s="490"/>
      <c r="T22" s="490"/>
      <c r="U22" s="490"/>
      <c r="V22" s="490"/>
      <c r="W22" s="490"/>
      <c r="X22" s="490"/>
      <c r="Y22" s="490"/>
      <c r="Z22" s="490"/>
      <c r="AA22" s="490"/>
      <c r="AB22" s="490"/>
      <c r="AC22" s="490"/>
      <c r="AD22" s="490"/>
      <c r="AE22" s="490"/>
      <c r="AF22" s="490"/>
      <c r="AG22" s="490"/>
      <c r="AH22" s="490"/>
      <c r="AI22" s="490"/>
      <c r="AJ22" s="490"/>
      <c r="AK22" s="490"/>
      <c r="AL22" s="490"/>
    </row>
    <row r="23" spans="1:38" s="491" customFormat="1" ht="18.75" customHeight="1">
      <c r="A23" s="492" t="s">
        <v>33</v>
      </c>
      <c r="B23" s="493"/>
      <c r="C23" s="1432"/>
      <c r="D23" s="1434" t="s">
        <v>145</v>
      </c>
      <c r="E23" s="1435"/>
      <c r="F23" s="494" t="s">
        <v>142</v>
      </c>
      <c r="G23" s="494"/>
      <c r="H23" s="494"/>
      <c r="I23" s="495"/>
      <c r="J23" s="490"/>
      <c r="K23" s="490"/>
      <c r="L23" s="490"/>
      <c r="M23" s="490"/>
      <c r="N23" s="490"/>
      <c r="O23" s="490"/>
      <c r="P23" s="490"/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/>
      <c r="AG23" s="490"/>
      <c r="AH23" s="490"/>
      <c r="AI23" s="490"/>
      <c r="AJ23" s="490"/>
      <c r="AK23" s="490"/>
      <c r="AL23" s="490"/>
    </row>
    <row r="24" spans="1:38" s="491" customFormat="1" ht="18.75" customHeight="1">
      <c r="A24" s="496"/>
      <c r="B24" s="497"/>
      <c r="C24" s="1432"/>
      <c r="D24" s="1436"/>
      <c r="E24" s="1437"/>
      <c r="F24" s="494" t="s">
        <v>146</v>
      </c>
      <c r="G24" s="495"/>
      <c r="H24" s="498" t="s">
        <v>57</v>
      </c>
      <c r="I24" s="495"/>
      <c r="J24" s="490"/>
      <c r="K24" s="490"/>
      <c r="L24" s="490"/>
      <c r="M24" s="490"/>
      <c r="N24" s="490"/>
      <c r="O24" s="490"/>
      <c r="P24" s="490"/>
      <c r="Q24" s="490"/>
      <c r="R24" s="490"/>
      <c r="S24" s="490"/>
      <c r="T24" s="490"/>
      <c r="U24" s="490"/>
      <c r="V24" s="490"/>
      <c r="W24" s="490"/>
      <c r="X24" s="490"/>
      <c r="Y24" s="490"/>
      <c r="Z24" s="490"/>
      <c r="AA24" s="490"/>
      <c r="AB24" s="490"/>
      <c r="AC24" s="490"/>
      <c r="AD24" s="490"/>
      <c r="AE24" s="490"/>
      <c r="AF24" s="490"/>
      <c r="AG24" s="490"/>
      <c r="AH24" s="490"/>
      <c r="AI24" s="490"/>
      <c r="AJ24" s="490"/>
      <c r="AK24" s="490"/>
      <c r="AL24" s="490"/>
    </row>
    <row r="25" spans="1:38" s="491" customFormat="1" ht="18.75" customHeight="1">
      <c r="A25" s="499"/>
      <c r="B25" s="500"/>
      <c r="C25" s="1433"/>
      <c r="D25" s="501" t="s">
        <v>58</v>
      </c>
      <c r="E25" s="502" t="s">
        <v>7</v>
      </c>
      <c r="F25" s="501" t="s">
        <v>58</v>
      </c>
      <c r="G25" s="503" t="s">
        <v>7</v>
      </c>
      <c r="H25" s="531" t="s">
        <v>58</v>
      </c>
      <c r="I25" s="505" t="s">
        <v>7</v>
      </c>
      <c r="J25" s="490"/>
      <c r="K25" s="490"/>
      <c r="L25" s="490"/>
      <c r="M25" s="490"/>
      <c r="N25" s="490"/>
      <c r="O25" s="490"/>
      <c r="P25" s="490"/>
      <c r="Q25" s="490"/>
      <c r="R25" s="490"/>
      <c r="S25" s="490"/>
      <c r="T25" s="490"/>
      <c r="U25" s="490"/>
      <c r="V25" s="490"/>
      <c r="W25" s="490"/>
      <c r="X25" s="490"/>
      <c r="Y25" s="490"/>
      <c r="Z25" s="490"/>
      <c r="AA25" s="490"/>
      <c r="AB25" s="490"/>
      <c r="AC25" s="490"/>
      <c r="AD25" s="490"/>
      <c r="AE25" s="490"/>
      <c r="AF25" s="490"/>
      <c r="AG25" s="490"/>
      <c r="AH25" s="490"/>
      <c r="AI25" s="490"/>
      <c r="AJ25" s="490"/>
      <c r="AK25" s="490"/>
      <c r="AL25" s="490"/>
    </row>
    <row r="26" spans="1:38" s="491" customFormat="1" ht="28.5" customHeight="1">
      <c r="A26" s="506" t="s">
        <v>34</v>
      </c>
      <c r="B26" s="497"/>
      <c r="C26" s="507">
        <v>57</v>
      </c>
      <c r="D26" s="508">
        <v>23</v>
      </c>
      <c r="E26" s="532">
        <f aca="true" t="shared" si="2" ref="E26:E31">(D26/C26)*100</f>
        <v>40.35087719298245</v>
      </c>
      <c r="F26" s="508">
        <v>28</v>
      </c>
      <c r="G26" s="532">
        <f aca="true" t="shared" si="3" ref="G26:G31">(F26/C26)*100</f>
        <v>49.122807017543856</v>
      </c>
      <c r="H26" s="533">
        <v>6</v>
      </c>
      <c r="I26" s="532">
        <f aca="true" t="shared" si="4" ref="I26:I31">(H26/C26)*100</f>
        <v>10.526315789473683</v>
      </c>
      <c r="J26" s="490"/>
      <c r="K26" s="534"/>
      <c r="L26" s="490"/>
      <c r="M26" s="490"/>
      <c r="N26" s="490"/>
      <c r="O26" s="490"/>
      <c r="P26" s="490"/>
      <c r="Q26" s="490"/>
      <c r="R26" s="490"/>
      <c r="S26" s="490"/>
      <c r="T26" s="490"/>
      <c r="U26" s="490"/>
      <c r="V26" s="490"/>
      <c r="W26" s="490"/>
      <c r="X26" s="490"/>
      <c r="Y26" s="490"/>
      <c r="Z26" s="490"/>
      <c r="AA26" s="490"/>
      <c r="AB26" s="490"/>
      <c r="AC26" s="490"/>
      <c r="AD26" s="490"/>
      <c r="AE26" s="490"/>
      <c r="AF26" s="490"/>
      <c r="AG26" s="490"/>
      <c r="AH26" s="490"/>
      <c r="AI26" s="490"/>
      <c r="AJ26" s="490"/>
      <c r="AK26" s="490"/>
      <c r="AL26" s="490"/>
    </row>
    <row r="27" spans="1:38" s="491" customFormat="1" ht="28.5" customHeight="1">
      <c r="A27" s="1429" t="s">
        <v>35</v>
      </c>
      <c r="B27" s="1430"/>
      <c r="C27" s="507">
        <v>44</v>
      </c>
      <c r="D27" s="508">
        <v>18</v>
      </c>
      <c r="E27" s="532">
        <f t="shared" si="2"/>
        <v>40.909090909090914</v>
      </c>
      <c r="F27" s="508">
        <v>22</v>
      </c>
      <c r="G27" s="532">
        <f t="shared" si="3"/>
        <v>50</v>
      </c>
      <c r="H27" s="533">
        <v>4</v>
      </c>
      <c r="I27" s="532">
        <f t="shared" si="4"/>
        <v>9.090909090909092</v>
      </c>
      <c r="J27" s="490"/>
      <c r="K27" s="534"/>
      <c r="L27" s="490"/>
      <c r="M27" s="490"/>
      <c r="N27" s="490"/>
      <c r="O27" s="490"/>
      <c r="P27" s="490"/>
      <c r="Q27" s="490"/>
      <c r="R27" s="490"/>
      <c r="S27" s="490"/>
      <c r="T27" s="490"/>
      <c r="U27" s="490"/>
      <c r="V27" s="490"/>
      <c r="W27" s="490"/>
      <c r="X27" s="490"/>
      <c r="Y27" s="490"/>
      <c r="Z27" s="490"/>
      <c r="AA27" s="490"/>
      <c r="AB27" s="490"/>
      <c r="AC27" s="490"/>
      <c r="AD27" s="490"/>
      <c r="AE27" s="490"/>
      <c r="AF27" s="490"/>
      <c r="AG27" s="490"/>
      <c r="AH27" s="490"/>
      <c r="AI27" s="490"/>
      <c r="AJ27" s="490"/>
      <c r="AK27" s="490"/>
      <c r="AL27" s="490"/>
    </row>
    <row r="28" spans="1:38" s="491" customFormat="1" ht="28.5" customHeight="1">
      <c r="A28" s="506" t="s">
        <v>36</v>
      </c>
      <c r="B28" s="497"/>
      <c r="C28" s="507">
        <v>41</v>
      </c>
      <c r="D28" s="508">
        <v>13</v>
      </c>
      <c r="E28" s="532">
        <f t="shared" si="2"/>
        <v>31.70731707317073</v>
      </c>
      <c r="F28" s="508">
        <v>22</v>
      </c>
      <c r="G28" s="532">
        <f t="shared" si="3"/>
        <v>53.65853658536586</v>
      </c>
      <c r="H28" s="535">
        <v>6</v>
      </c>
      <c r="I28" s="532">
        <f t="shared" si="4"/>
        <v>14.634146341463413</v>
      </c>
      <c r="J28" s="490"/>
      <c r="K28" s="534"/>
      <c r="L28" s="490"/>
      <c r="M28" s="490"/>
      <c r="N28" s="490"/>
      <c r="O28" s="490"/>
      <c r="P28" s="490"/>
      <c r="Q28" s="490"/>
      <c r="R28" s="490"/>
      <c r="S28" s="490"/>
      <c r="T28" s="490"/>
      <c r="U28" s="490"/>
      <c r="V28" s="490"/>
      <c r="W28" s="490"/>
      <c r="X28" s="490"/>
      <c r="Y28" s="490"/>
      <c r="Z28" s="490"/>
      <c r="AA28" s="490"/>
      <c r="AB28" s="490"/>
      <c r="AC28" s="490"/>
      <c r="AD28" s="490"/>
      <c r="AE28" s="490"/>
      <c r="AF28" s="490"/>
      <c r="AG28" s="490"/>
      <c r="AH28" s="490"/>
      <c r="AI28" s="490"/>
      <c r="AJ28" s="490"/>
      <c r="AK28" s="490"/>
      <c r="AL28" s="490"/>
    </row>
    <row r="29" spans="1:38" s="491" customFormat="1" ht="27.75" customHeight="1">
      <c r="A29" s="506" t="s">
        <v>51</v>
      </c>
      <c r="B29" s="536"/>
      <c r="C29" s="507">
        <v>32</v>
      </c>
      <c r="D29" s="508">
        <v>15</v>
      </c>
      <c r="E29" s="532">
        <f t="shared" si="2"/>
        <v>46.875</v>
      </c>
      <c r="F29" s="508">
        <v>15</v>
      </c>
      <c r="G29" s="532">
        <f t="shared" si="3"/>
        <v>46.875</v>
      </c>
      <c r="H29" s="535">
        <v>2</v>
      </c>
      <c r="I29" s="532">
        <f t="shared" si="4"/>
        <v>6.25</v>
      </c>
      <c r="J29" s="490"/>
      <c r="K29" s="534"/>
      <c r="L29" s="490"/>
      <c r="M29" s="490"/>
      <c r="N29" s="490"/>
      <c r="O29" s="490"/>
      <c r="P29" s="490"/>
      <c r="Q29" s="490"/>
      <c r="R29" s="490"/>
      <c r="S29" s="490"/>
      <c r="T29" s="490"/>
      <c r="U29" s="490"/>
      <c r="V29" s="490"/>
      <c r="W29" s="490"/>
      <c r="X29" s="490"/>
      <c r="Y29" s="490"/>
      <c r="Z29" s="490"/>
      <c r="AA29" s="490"/>
      <c r="AB29" s="490"/>
      <c r="AC29" s="490"/>
      <c r="AD29" s="490"/>
      <c r="AE29" s="490"/>
      <c r="AF29" s="490"/>
      <c r="AG29" s="490"/>
      <c r="AH29" s="490"/>
      <c r="AI29" s="490"/>
      <c r="AJ29" s="490"/>
      <c r="AK29" s="490"/>
      <c r="AL29" s="490"/>
    </row>
    <row r="30" spans="1:38" s="491" customFormat="1" ht="29.25" customHeight="1">
      <c r="A30" s="506" t="s">
        <v>38</v>
      </c>
      <c r="B30" s="497"/>
      <c r="C30" s="515">
        <v>5</v>
      </c>
      <c r="D30" s="537">
        <v>0</v>
      </c>
      <c r="E30" s="538">
        <v>0</v>
      </c>
      <c r="F30" s="529">
        <v>5</v>
      </c>
      <c r="G30" s="539">
        <f t="shared" si="3"/>
        <v>100</v>
      </c>
      <c r="H30" s="537">
        <v>0</v>
      </c>
      <c r="I30" s="538">
        <v>0</v>
      </c>
      <c r="J30" s="490"/>
      <c r="K30" s="534"/>
      <c r="L30" s="490"/>
      <c r="M30" s="490"/>
      <c r="N30" s="490"/>
      <c r="O30" s="490"/>
      <c r="P30" s="490"/>
      <c r="Q30" s="490"/>
      <c r="R30" s="490"/>
      <c r="S30" s="490"/>
      <c r="T30" s="490"/>
      <c r="U30" s="490"/>
      <c r="V30" s="490"/>
      <c r="W30" s="490"/>
      <c r="X30" s="490"/>
      <c r="Y30" s="490"/>
      <c r="Z30" s="490"/>
      <c r="AA30" s="490"/>
      <c r="AB30" s="490"/>
      <c r="AC30" s="490"/>
      <c r="AD30" s="490"/>
      <c r="AE30" s="490"/>
      <c r="AF30" s="490"/>
      <c r="AG30" s="490"/>
      <c r="AH30" s="490"/>
      <c r="AI30" s="490"/>
      <c r="AJ30" s="490"/>
      <c r="AK30" s="490"/>
      <c r="AL30" s="490"/>
    </row>
    <row r="31" spans="1:38" s="491" customFormat="1" ht="36" customHeight="1">
      <c r="A31" s="526" t="s">
        <v>52</v>
      </c>
      <c r="B31" s="527"/>
      <c r="C31" s="515">
        <f>D31+F31+H31</f>
        <v>179</v>
      </c>
      <c r="D31" s="523">
        <f>SUM(D26:D30)</f>
        <v>69</v>
      </c>
      <c r="E31" s="540">
        <f t="shared" si="2"/>
        <v>38.547486033519554</v>
      </c>
      <c r="F31" s="529">
        <f>SUM(F26:F30)</f>
        <v>92</v>
      </c>
      <c r="G31" s="539">
        <f t="shared" si="3"/>
        <v>51.39664804469274</v>
      </c>
      <c r="H31" s="541">
        <f>SUM(H26:H30)</f>
        <v>18</v>
      </c>
      <c r="I31" s="539">
        <f t="shared" si="4"/>
        <v>10.05586592178771</v>
      </c>
      <c r="J31" s="490"/>
      <c r="K31" s="534"/>
      <c r="L31" s="490"/>
      <c r="M31" s="490"/>
      <c r="N31" s="490"/>
      <c r="O31" s="490"/>
      <c r="P31" s="490"/>
      <c r="Q31" s="490"/>
      <c r="R31" s="490"/>
      <c r="S31" s="490"/>
      <c r="T31" s="490"/>
      <c r="U31" s="490"/>
      <c r="V31" s="490"/>
      <c r="W31" s="490"/>
      <c r="X31" s="490"/>
      <c r="Y31" s="490"/>
      <c r="Z31" s="490"/>
      <c r="AA31" s="490"/>
      <c r="AB31" s="490"/>
      <c r="AC31" s="490"/>
      <c r="AD31" s="490"/>
      <c r="AE31" s="490"/>
      <c r="AF31" s="490"/>
      <c r="AG31" s="490"/>
      <c r="AH31" s="490"/>
      <c r="AI31" s="490"/>
      <c r="AJ31" s="490"/>
      <c r="AK31" s="490"/>
      <c r="AL31" s="490"/>
    </row>
    <row r="32" ht="17.25" customHeight="1">
      <c r="A32" s="542"/>
    </row>
    <row r="33" spans="1:8" s="544" customFormat="1" ht="15" customHeight="1">
      <c r="A33" s="543" t="s">
        <v>356</v>
      </c>
      <c r="B33" s="543"/>
      <c r="C33" s="543"/>
      <c r="D33" s="543"/>
      <c r="E33" s="543"/>
      <c r="F33" s="543"/>
      <c r="G33" s="543"/>
      <c r="H33" s="543"/>
    </row>
    <row r="34" s="545" customFormat="1" ht="15" customHeight="1">
      <c r="A34" s="545" t="s">
        <v>349</v>
      </c>
    </row>
    <row r="35" spans="1:9" s="545" customFormat="1" ht="18.75" customHeight="1">
      <c r="A35" s="1428" t="s">
        <v>147</v>
      </c>
      <c r="B35" s="1428"/>
      <c r="C35" s="1428"/>
      <c r="D35" s="1428"/>
      <c r="E35" s="1428"/>
      <c r="F35" s="1428"/>
      <c r="G35" s="1428"/>
      <c r="H35" s="1428"/>
      <c r="I35" s="1428"/>
    </row>
    <row r="36" spans="1:9" s="545" customFormat="1" ht="18" customHeight="1">
      <c r="A36" s="485" t="s">
        <v>143</v>
      </c>
      <c r="B36" s="485"/>
      <c r="C36" s="546"/>
      <c r="D36" s="546"/>
      <c r="E36" s="546"/>
      <c r="F36" s="546"/>
      <c r="G36" s="546"/>
      <c r="H36" s="546"/>
      <c r="I36" s="546"/>
    </row>
  </sheetData>
  <sheetProtection/>
  <mergeCells count="6">
    <mergeCell ref="A35:I35"/>
    <mergeCell ref="A27:B27"/>
    <mergeCell ref="C3:C6"/>
    <mergeCell ref="C22:C25"/>
    <mergeCell ref="D4:E5"/>
    <mergeCell ref="D23:E24"/>
  </mergeCells>
  <printOptions horizontalCentered="1"/>
  <pageMargins left="0.53" right="0.27" top="0.52" bottom="0.25" header="0.28" footer="0.25"/>
  <pageSetup horizontalDpi="300" verticalDpi="300" orientation="portrait" paperSize="9" r:id="rId1"/>
  <headerFooter alignWithMargins="0">
    <oddHeader>&amp;C&amp;"Times New Roman,Regular"&amp;11- 19 -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V36"/>
  <sheetViews>
    <sheetView zoomScalePageLayoutView="0" workbookViewId="0" topLeftCell="A4">
      <selection activeCell="B35" sqref="B35"/>
    </sheetView>
  </sheetViews>
  <sheetFormatPr defaultColWidth="9.140625" defaultRowHeight="12.75"/>
  <cols>
    <col min="1" max="1" width="30.57421875" style="485" customWidth="1"/>
    <col min="2" max="2" width="9.00390625" style="548" customWidth="1"/>
    <col min="3" max="3" width="8.28125" style="548" customWidth="1"/>
    <col min="4" max="4" width="8.140625" style="548" customWidth="1"/>
    <col min="5" max="6" width="8.28125" style="548" customWidth="1"/>
    <col min="7" max="8" width="8.140625" style="548" customWidth="1"/>
    <col min="9" max="9" width="8.57421875" style="548" customWidth="1"/>
    <col min="10" max="10" width="8.140625" style="485" customWidth="1"/>
    <col min="11" max="11" width="7.28125" style="0" customWidth="1"/>
    <col min="12" max="12" width="7.7109375" style="0" customWidth="1"/>
    <col min="13" max="13" width="7.57421875" style="0" customWidth="1"/>
    <col min="14" max="14" width="9.00390625" style="142" customWidth="1"/>
    <col min="231" max="16384" width="9.140625" style="485" customWidth="1"/>
  </cols>
  <sheetData>
    <row r="1" spans="1:230" s="483" customFormat="1" ht="21" customHeight="1">
      <c r="A1" s="483" t="s">
        <v>357</v>
      </c>
      <c r="B1" s="547"/>
      <c r="C1" s="547"/>
      <c r="D1" s="547"/>
      <c r="E1" s="547"/>
      <c r="F1" s="547"/>
      <c r="G1" s="547"/>
      <c r="H1" s="547"/>
      <c r="I1" s="547"/>
      <c r="K1" s="484"/>
      <c r="L1" s="484"/>
      <c r="M1" s="484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</row>
    <row r="2" ht="7.5" customHeight="1"/>
    <row r="3" spans="1:230" s="491" customFormat="1" ht="14.25" customHeight="1">
      <c r="A3" s="1326" t="s">
        <v>16</v>
      </c>
      <c r="B3" s="1441" t="s">
        <v>78</v>
      </c>
      <c r="C3" s="1442"/>
      <c r="D3" s="1443"/>
      <c r="E3" s="1441" t="s">
        <v>148</v>
      </c>
      <c r="F3" s="1442"/>
      <c r="G3" s="1443"/>
      <c r="H3" s="1438" t="s">
        <v>80</v>
      </c>
      <c r="I3" s="1439"/>
      <c r="J3" s="1439"/>
      <c r="K3" s="1439"/>
      <c r="L3" s="1439"/>
      <c r="M3" s="1440"/>
      <c r="N3" s="145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</row>
    <row r="4" spans="1:230" s="491" customFormat="1" ht="14.25" customHeight="1">
      <c r="A4" s="1329"/>
      <c r="B4" s="1444"/>
      <c r="C4" s="1445"/>
      <c r="D4" s="1446"/>
      <c r="E4" s="1444"/>
      <c r="F4" s="1445"/>
      <c r="G4" s="1446"/>
      <c r="H4" s="1438" t="s">
        <v>149</v>
      </c>
      <c r="I4" s="1439"/>
      <c r="J4" s="1440"/>
      <c r="K4" s="1438" t="s">
        <v>81</v>
      </c>
      <c r="L4" s="1439"/>
      <c r="M4" s="1440"/>
      <c r="N4" s="145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</row>
    <row r="5" spans="1:230" s="491" customFormat="1" ht="14.25" customHeight="1">
      <c r="A5" s="1332"/>
      <c r="B5" s="549" t="s">
        <v>5</v>
      </c>
      <c r="C5" s="551" t="s">
        <v>43</v>
      </c>
      <c r="D5" s="552" t="s">
        <v>44</v>
      </c>
      <c r="E5" s="549" t="s">
        <v>5</v>
      </c>
      <c r="F5" s="551" t="s">
        <v>43</v>
      </c>
      <c r="G5" s="550" t="s">
        <v>44</v>
      </c>
      <c r="H5" s="549" t="s">
        <v>5</v>
      </c>
      <c r="I5" s="551" t="s">
        <v>43</v>
      </c>
      <c r="J5" s="550" t="s">
        <v>44</v>
      </c>
      <c r="K5" s="549" t="s">
        <v>5</v>
      </c>
      <c r="L5" s="551" t="s">
        <v>43</v>
      </c>
      <c r="M5" s="550" t="s">
        <v>44</v>
      </c>
      <c r="N5" s="14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</row>
    <row r="6" spans="1:230" s="491" customFormat="1" ht="20.25" customHeight="1">
      <c r="A6" s="506" t="s">
        <v>59</v>
      </c>
      <c r="B6" s="553">
        <f>SUM(C6,D6)</f>
        <v>15663</v>
      </c>
      <c r="C6" s="554">
        <f>SUM(F6,I6,L6)</f>
        <v>7333</v>
      </c>
      <c r="D6" s="555">
        <f>SUM(G6,J6,M6)</f>
        <v>8330</v>
      </c>
      <c r="E6" s="553">
        <f>F6+G6</f>
        <v>5316</v>
      </c>
      <c r="F6" s="556">
        <v>2511</v>
      </c>
      <c r="G6" s="555">
        <v>2805</v>
      </c>
      <c r="H6" s="553">
        <f>I6+J6</f>
        <v>8806</v>
      </c>
      <c r="I6" s="556">
        <f>3703+197</f>
        <v>3900</v>
      </c>
      <c r="J6" s="557">
        <f>3786+1120</f>
        <v>4906</v>
      </c>
      <c r="K6" s="553">
        <f>L6+M6</f>
        <v>1541</v>
      </c>
      <c r="L6" s="556">
        <v>922</v>
      </c>
      <c r="M6" s="557">
        <v>619</v>
      </c>
      <c r="N6" s="145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</row>
    <row r="7" spans="1:230" s="491" customFormat="1" ht="20.25" customHeight="1">
      <c r="A7" s="506" t="s">
        <v>60</v>
      </c>
      <c r="B7" s="553">
        <f aca="true" t="shared" si="0" ref="B7:B14">SUM(C7,D7)</f>
        <v>9457</v>
      </c>
      <c r="C7" s="556">
        <f aca="true" t="shared" si="1" ref="C7:C14">SUM(F7,I7,L7)</f>
        <v>4429</v>
      </c>
      <c r="D7" s="555">
        <f aca="true" t="shared" si="2" ref="D7:D14">SUM(G7,J7,M7)</f>
        <v>5028</v>
      </c>
      <c r="E7" s="553">
        <f aca="true" t="shared" si="3" ref="E7:E17">F7+G7</f>
        <v>5644</v>
      </c>
      <c r="F7" s="556">
        <v>2708</v>
      </c>
      <c r="G7" s="555">
        <v>2936</v>
      </c>
      <c r="H7" s="553">
        <f aca="true" t="shared" si="4" ref="H7:H17">I7+J7</f>
        <v>3813</v>
      </c>
      <c r="I7" s="556">
        <v>1721</v>
      </c>
      <c r="J7" s="557">
        <v>2092</v>
      </c>
      <c r="K7" s="558" t="s">
        <v>39</v>
      </c>
      <c r="L7" s="559" t="s">
        <v>39</v>
      </c>
      <c r="M7" s="560" t="s">
        <v>39</v>
      </c>
      <c r="N7" s="145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</row>
    <row r="8" spans="1:230" s="491" customFormat="1" ht="20.25" customHeight="1">
      <c r="A8" s="506" t="s">
        <v>62</v>
      </c>
      <c r="B8" s="553">
        <f t="shared" si="0"/>
        <v>9958</v>
      </c>
      <c r="C8" s="556">
        <f t="shared" si="1"/>
        <v>4957</v>
      </c>
      <c r="D8" s="555">
        <f t="shared" si="2"/>
        <v>5001</v>
      </c>
      <c r="E8" s="553">
        <f t="shared" si="3"/>
        <v>4855</v>
      </c>
      <c r="F8" s="556">
        <v>2861</v>
      </c>
      <c r="G8" s="555">
        <v>1994</v>
      </c>
      <c r="H8" s="553">
        <f t="shared" si="4"/>
        <v>4538</v>
      </c>
      <c r="I8" s="556">
        <v>1825</v>
      </c>
      <c r="J8" s="557">
        <v>2713</v>
      </c>
      <c r="K8" s="553">
        <f aca="true" t="shared" si="5" ref="K8:K13">SUM(L8,M8)</f>
        <v>565</v>
      </c>
      <c r="L8" s="556">
        <v>271</v>
      </c>
      <c r="M8" s="557">
        <v>294</v>
      </c>
      <c r="N8" s="145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</row>
    <row r="9" spans="1:230" s="491" customFormat="1" ht="20.25" customHeight="1">
      <c r="A9" s="506" t="s">
        <v>63</v>
      </c>
      <c r="B9" s="553">
        <f t="shared" si="0"/>
        <v>12864</v>
      </c>
      <c r="C9" s="556">
        <f t="shared" si="1"/>
        <v>6012</v>
      </c>
      <c r="D9" s="555">
        <f t="shared" si="2"/>
        <v>6852</v>
      </c>
      <c r="E9" s="553">
        <f t="shared" si="3"/>
        <v>6191</v>
      </c>
      <c r="F9" s="556">
        <v>2445</v>
      </c>
      <c r="G9" s="555">
        <v>3746</v>
      </c>
      <c r="H9" s="553">
        <f t="shared" si="4"/>
        <v>6673</v>
      </c>
      <c r="I9" s="556">
        <v>3567</v>
      </c>
      <c r="J9" s="557">
        <v>3106</v>
      </c>
      <c r="K9" s="558" t="s">
        <v>39</v>
      </c>
      <c r="L9" s="559" t="s">
        <v>39</v>
      </c>
      <c r="M9" s="560" t="s">
        <v>39</v>
      </c>
      <c r="N9" s="145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</row>
    <row r="10" spans="1:230" s="491" customFormat="1" ht="20.25" customHeight="1">
      <c r="A10" s="506" t="s">
        <v>64</v>
      </c>
      <c r="B10" s="553">
        <f t="shared" si="0"/>
        <v>6674</v>
      </c>
      <c r="C10" s="556">
        <f t="shared" si="1"/>
        <v>2822</v>
      </c>
      <c r="D10" s="555">
        <f t="shared" si="2"/>
        <v>3852</v>
      </c>
      <c r="E10" s="553">
        <f t="shared" si="3"/>
        <v>2903</v>
      </c>
      <c r="F10" s="556">
        <v>1499</v>
      </c>
      <c r="G10" s="555">
        <v>1404</v>
      </c>
      <c r="H10" s="553">
        <f t="shared" si="4"/>
        <v>3771</v>
      </c>
      <c r="I10" s="556">
        <v>1323</v>
      </c>
      <c r="J10" s="557">
        <v>2448</v>
      </c>
      <c r="K10" s="558" t="s">
        <v>39</v>
      </c>
      <c r="L10" s="559" t="s">
        <v>39</v>
      </c>
      <c r="M10" s="560" t="s">
        <v>39</v>
      </c>
      <c r="N10" s="145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</row>
    <row r="11" spans="1:230" s="491" customFormat="1" ht="20.25" customHeight="1">
      <c r="A11" s="506" t="s">
        <v>65</v>
      </c>
      <c r="B11" s="553">
        <f t="shared" si="0"/>
        <v>4298</v>
      </c>
      <c r="C11" s="556">
        <f t="shared" si="1"/>
        <v>2119</v>
      </c>
      <c r="D11" s="555">
        <f t="shared" si="2"/>
        <v>2179</v>
      </c>
      <c r="E11" s="553">
        <f t="shared" si="3"/>
        <v>2616</v>
      </c>
      <c r="F11" s="556">
        <v>1353</v>
      </c>
      <c r="G11" s="555">
        <v>1263</v>
      </c>
      <c r="H11" s="553">
        <f t="shared" si="4"/>
        <v>1682</v>
      </c>
      <c r="I11" s="556">
        <v>766</v>
      </c>
      <c r="J11" s="557">
        <v>916</v>
      </c>
      <c r="K11" s="558" t="s">
        <v>39</v>
      </c>
      <c r="L11" s="559" t="s">
        <v>39</v>
      </c>
      <c r="M11" s="560" t="s">
        <v>39</v>
      </c>
      <c r="N11" s="145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</row>
    <row r="12" spans="1:230" s="491" customFormat="1" ht="20.25" customHeight="1">
      <c r="A12" s="506" t="s">
        <v>66</v>
      </c>
      <c r="B12" s="553">
        <f t="shared" si="0"/>
        <v>45524</v>
      </c>
      <c r="C12" s="556">
        <f t="shared" si="1"/>
        <v>22668</v>
      </c>
      <c r="D12" s="555">
        <f t="shared" si="2"/>
        <v>22856</v>
      </c>
      <c r="E12" s="553">
        <f t="shared" si="3"/>
        <v>16230</v>
      </c>
      <c r="F12" s="556">
        <v>7647</v>
      </c>
      <c r="G12" s="555">
        <v>8583</v>
      </c>
      <c r="H12" s="553">
        <f t="shared" si="4"/>
        <v>26723</v>
      </c>
      <c r="I12" s="556">
        <f>13579+103</f>
        <v>13682</v>
      </c>
      <c r="J12" s="557">
        <f>12943+98</f>
        <v>13041</v>
      </c>
      <c r="K12" s="553">
        <f t="shared" si="5"/>
        <v>2571</v>
      </c>
      <c r="L12" s="556">
        <v>1339</v>
      </c>
      <c r="M12" s="557">
        <v>1232</v>
      </c>
      <c r="N12" s="145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</row>
    <row r="13" spans="1:230" s="491" customFormat="1" ht="20.25" customHeight="1">
      <c r="A13" s="506" t="s">
        <v>67</v>
      </c>
      <c r="B13" s="553">
        <f t="shared" si="0"/>
        <v>6031</v>
      </c>
      <c r="C13" s="556">
        <f t="shared" si="1"/>
        <v>2598</v>
      </c>
      <c r="D13" s="555">
        <f t="shared" si="2"/>
        <v>3433</v>
      </c>
      <c r="E13" s="553">
        <f t="shared" si="3"/>
        <v>3190</v>
      </c>
      <c r="F13" s="556">
        <v>1427</v>
      </c>
      <c r="G13" s="555">
        <v>1763</v>
      </c>
      <c r="H13" s="553">
        <f t="shared" si="4"/>
        <v>1470</v>
      </c>
      <c r="I13" s="556">
        <v>444</v>
      </c>
      <c r="J13" s="557">
        <v>1026</v>
      </c>
      <c r="K13" s="553">
        <f t="shared" si="5"/>
        <v>1371</v>
      </c>
      <c r="L13" s="556">
        <v>727</v>
      </c>
      <c r="M13" s="557">
        <v>644</v>
      </c>
      <c r="N13" s="145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</row>
    <row r="14" spans="1:230" s="491" customFormat="1" ht="20.25" customHeight="1">
      <c r="A14" s="506" t="s">
        <v>68</v>
      </c>
      <c r="B14" s="553">
        <f t="shared" si="0"/>
        <v>2103</v>
      </c>
      <c r="C14" s="556">
        <f t="shared" si="1"/>
        <v>758</v>
      </c>
      <c r="D14" s="555">
        <f t="shared" si="2"/>
        <v>1345</v>
      </c>
      <c r="E14" s="553">
        <f t="shared" si="3"/>
        <v>1616</v>
      </c>
      <c r="F14" s="556">
        <v>527</v>
      </c>
      <c r="G14" s="555">
        <v>1089</v>
      </c>
      <c r="H14" s="553">
        <f t="shared" si="4"/>
        <v>487</v>
      </c>
      <c r="I14" s="556">
        <v>231</v>
      </c>
      <c r="J14" s="557">
        <v>256</v>
      </c>
      <c r="K14" s="558" t="s">
        <v>39</v>
      </c>
      <c r="L14" s="559" t="s">
        <v>39</v>
      </c>
      <c r="M14" s="560" t="s">
        <v>39</v>
      </c>
      <c r="N14" s="145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</row>
    <row r="15" spans="1:230" s="491" customFormat="1" ht="20.25" customHeight="1">
      <c r="A15" s="486" t="s">
        <v>69</v>
      </c>
      <c r="B15" s="561">
        <f>SUM(C15,D15)</f>
        <v>112572</v>
      </c>
      <c r="C15" s="554">
        <f aca="true" t="shared" si="6" ref="C15:D17">SUM(F15,I15,L15)</f>
        <v>53696</v>
      </c>
      <c r="D15" s="562">
        <f t="shared" si="6"/>
        <v>58876</v>
      </c>
      <c r="E15" s="561">
        <f t="shared" si="3"/>
        <v>48561</v>
      </c>
      <c r="F15" s="554">
        <f>SUM(F6:F14)</f>
        <v>22978</v>
      </c>
      <c r="G15" s="562">
        <f>SUM(G6:G14)</f>
        <v>25583</v>
      </c>
      <c r="H15" s="561">
        <f t="shared" si="4"/>
        <v>57963</v>
      </c>
      <c r="I15" s="554">
        <f>SUM(I6:I14)</f>
        <v>27459</v>
      </c>
      <c r="J15" s="563">
        <f>SUM(J6:J14)</f>
        <v>30504</v>
      </c>
      <c r="K15" s="561">
        <f>L15+M15</f>
        <v>6048</v>
      </c>
      <c r="L15" s="554">
        <f>SUM(L6:L14)</f>
        <v>3259</v>
      </c>
      <c r="M15" s="563">
        <f>SUM(M6:M14)</f>
        <v>2789</v>
      </c>
      <c r="N15" s="14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</row>
    <row r="16" spans="1:230" s="491" customFormat="1" ht="20.25" customHeight="1">
      <c r="A16" s="506" t="s">
        <v>70</v>
      </c>
      <c r="B16" s="564">
        <f>SUM(C16,D16)</f>
        <v>3654</v>
      </c>
      <c r="C16" s="565">
        <f t="shared" si="6"/>
        <v>1693</v>
      </c>
      <c r="D16" s="566">
        <f t="shared" si="6"/>
        <v>1961</v>
      </c>
      <c r="E16" s="567" t="s">
        <v>39</v>
      </c>
      <c r="F16" s="568" t="s">
        <v>39</v>
      </c>
      <c r="G16" s="558" t="s">
        <v>39</v>
      </c>
      <c r="H16" s="564">
        <f t="shared" si="4"/>
        <v>3654</v>
      </c>
      <c r="I16" s="565">
        <f>419+1274</f>
        <v>1693</v>
      </c>
      <c r="J16" s="569">
        <f>471+1490</f>
        <v>1961</v>
      </c>
      <c r="K16" s="558" t="s">
        <v>39</v>
      </c>
      <c r="L16" s="559" t="s">
        <v>39</v>
      </c>
      <c r="M16" s="560" t="s">
        <v>39</v>
      </c>
      <c r="N16" s="145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</row>
    <row r="17" spans="1:230" s="491" customFormat="1" ht="20.25" customHeight="1">
      <c r="A17" s="526" t="s">
        <v>71</v>
      </c>
      <c r="B17" s="570">
        <f>SUM(C17,D17)</f>
        <v>116226</v>
      </c>
      <c r="C17" s="571">
        <f t="shared" si="6"/>
        <v>55389</v>
      </c>
      <c r="D17" s="572">
        <f t="shared" si="6"/>
        <v>60837</v>
      </c>
      <c r="E17" s="570">
        <f t="shared" si="3"/>
        <v>48561</v>
      </c>
      <c r="F17" s="571">
        <f>SUM(F15:F16)</f>
        <v>22978</v>
      </c>
      <c r="G17" s="573">
        <f>SUM(G15:G16)</f>
        <v>25583</v>
      </c>
      <c r="H17" s="570">
        <f t="shared" si="4"/>
        <v>61617</v>
      </c>
      <c r="I17" s="571">
        <f>SUM(I15:I16)</f>
        <v>29152</v>
      </c>
      <c r="J17" s="572">
        <f>SUM(J15:J16)</f>
        <v>32465</v>
      </c>
      <c r="K17" s="570">
        <f>L17+M17</f>
        <v>6048</v>
      </c>
      <c r="L17" s="571">
        <f>SUM(L15:L16)</f>
        <v>3259</v>
      </c>
      <c r="M17" s="572">
        <f>SUM(M15:M16)</f>
        <v>2789</v>
      </c>
      <c r="N17" s="145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</row>
    <row r="18" spans="2:230" s="491" customFormat="1" ht="13.5" customHeight="1">
      <c r="B18" s="548"/>
      <c r="C18" s="548"/>
      <c r="D18" s="548"/>
      <c r="E18" s="562"/>
      <c r="F18" s="562"/>
      <c r="G18" s="562"/>
      <c r="H18" s="562"/>
      <c r="I18" s="562"/>
      <c r="J18" s="562"/>
      <c r="K18" s="574"/>
      <c r="L18" s="574"/>
      <c r="M18" s="574"/>
      <c r="N18" s="145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</row>
    <row r="19" spans="1:230" s="483" customFormat="1" ht="21.75" customHeight="1">
      <c r="A19" s="483" t="s">
        <v>358</v>
      </c>
      <c r="B19" s="548"/>
      <c r="C19" s="548"/>
      <c r="D19" s="548"/>
      <c r="E19" s="548"/>
      <c r="F19" s="548"/>
      <c r="G19" s="548"/>
      <c r="H19" s="548"/>
      <c r="I19" s="548"/>
      <c r="J19" s="485"/>
      <c r="K19" s="574"/>
      <c r="L19" s="574"/>
      <c r="M19" s="574"/>
      <c r="N19" s="145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</row>
    <row r="20" spans="2:230" s="491" customFormat="1" ht="7.5" customHeight="1">
      <c r="B20" s="548"/>
      <c r="C20" s="548"/>
      <c r="D20" s="548"/>
      <c r="E20" s="566"/>
      <c r="F20" s="555"/>
      <c r="G20" s="555"/>
      <c r="H20" s="555"/>
      <c r="I20" s="555"/>
      <c r="J20" s="555"/>
      <c r="K20" s="574"/>
      <c r="L20" s="574"/>
      <c r="M20" s="574"/>
      <c r="N20" s="145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</row>
    <row r="21" spans="1:230" s="491" customFormat="1" ht="14.25" customHeight="1">
      <c r="A21" s="1339" t="s">
        <v>33</v>
      </c>
      <c r="B21" s="1441" t="s">
        <v>78</v>
      </c>
      <c r="C21" s="1442"/>
      <c r="D21" s="1443"/>
      <c r="E21" s="1441" t="s">
        <v>148</v>
      </c>
      <c r="F21" s="1442"/>
      <c r="G21" s="1443"/>
      <c r="H21" s="1438" t="s">
        <v>82</v>
      </c>
      <c r="I21" s="1439"/>
      <c r="J21" s="1439"/>
      <c r="K21" s="1439"/>
      <c r="L21" s="1439"/>
      <c r="M21" s="1440"/>
      <c r="N21" s="145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</row>
    <row r="22" spans="1:230" s="491" customFormat="1" ht="12.75" customHeight="1">
      <c r="A22" s="1447"/>
      <c r="B22" s="1444"/>
      <c r="C22" s="1445"/>
      <c r="D22" s="1446"/>
      <c r="E22" s="1444"/>
      <c r="F22" s="1445"/>
      <c r="G22" s="1446"/>
      <c r="H22" s="1438" t="s">
        <v>149</v>
      </c>
      <c r="I22" s="1439"/>
      <c r="J22" s="1440"/>
      <c r="K22" s="1438" t="s">
        <v>81</v>
      </c>
      <c r="L22" s="1439"/>
      <c r="M22" s="1440"/>
      <c r="N22" s="145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</row>
    <row r="23" spans="1:230" s="491" customFormat="1" ht="14.25" customHeight="1">
      <c r="A23" s="1340"/>
      <c r="B23" s="549" t="s">
        <v>5</v>
      </c>
      <c r="C23" s="551" t="s">
        <v>43</v>
      </c>
      <c r="D23" s="552" t="s">
        <v>44</v>
      </c>
      <c r="E23" s="549" t="s">
        <v>5</v>
      </c>
      <c r="F23" s="551" t="s">
        <v>43</v>
      </c>
      <c r="G23" s="550" t="s">
        <v>44</v>
      </c>
      <c r="H23" s="549" t="s">
        <v>5</v>
      </c>
      <c r="I23" s="551" t="s">
        <v>43</v>
      </c>
      <c r="J23" s="550" t="s">
        <v>44</v>
      </c>
      <c r="K23" s="549" t="s">
        <v>5</v>
      </c>
      <c r="L23" s="551" t="s">
        <v>43</v>
      </c>
      <c r="M23" s="550" t="s">
        <v>44</v>
      </c>
      <c r="N23" s="145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</row>
    <row r="24" spans="1:230" s="491" customFormat="1" ht="21.75" customHeight="1">
      <c r="A24" s="506" t="s">
        <v>34</v>
      </c>
      <c r="B24" s="553">
        <f aca="true" t="shared" si="7" ref="B24:D28">E24+H24+K24</f>
        <v>35538</v>
      </c>
      <c r="C24" s="556">
        <f t="shared" si="7"/>
        <v>16719</v>
      </c>
      <c r="D24" s="555">
        <f t="shared" si="7"/>
        <v>18819</v>
      </c>
      <c r="E24" s="553">
        <f aca="true" t="shared" si="8" ref="E24:E30">F24+G24</f>
        <v>16275</v>
      </c>
      <c r="F24" s="556">
        <v>8080</v>
      </c>
      <c r="G24" s="555">
        <v>8195</v>
      </c>
      <c r="H24" s="553">
        <f aca="true" t="shared" si="9" ref="H24:H30">I24+J24</f>
        <v>17157</v>
      </c>
      <c r="I24" s="556">
        <f>197+7249</f>
        <v>7446</v>
      </c>
      <c r="J24" s="557">
        <f>1120+8591</f>
        <v>9711</v>
      </c>
      <c r="K24" s="553">
        <f aca="true" t="shared" si="10" ref="K24:K30">L24+M24</f>
        <v>2106</v>
      </c>
      <c r="L24" s="556">
        <v>1193</v>
      </c>
      <c r="M24" s="557">
        <v>913</v>
      </c>
      <c r="N24" s="145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</row>
    <row r="25" spans="1:230" s="491" customFormat="1" ht="21.75" customHeight="1">
      <c r="A25" s="506" t="s">
        <v>35</v>
      </c>
      <c r="B25" s="553">
        <f t="shared" si="7"/>
        <v>29776</v>
      </c>
      <c r="C25" s="556">
        <f t="shared" si="7"/>
        <v>14383</v>
      </c>
      <c r="D25" s="555">
        <f t="shared" si="7"/>
        <v>15393</v>
      </c>
      <c r="E25" s="553">
        <f t="shared" si="8"/>
        <v>12726</v>
      </c>
      <c r="F25" s="556">
        <v>5543</v>
      </c>
      <c r="G25" s="555">
        <v>7183</v>
      </c>
      <c r="H25" s="553">
        <f t="shared" si="9"/>
        <v>15593</v>
      </c>
      <c r="I25" s="556">
        <v>8056</v>
      </c>
      <c r="J25" s="557">
        <v>7537</v>
      </c>
      <c r="K25" s="553">
        <f t="shared" si="10"/>
        <v>1457</v>
      </c>
      <c r="L25" s="556">
        <v>784</v>
      </c>
      <c r="M25" s="557">
        <v>673</v>
      </c>
      <c r="N25" s="14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</row>
    <row r="26" spans="1:230" s="491" customFormat="1" ht="21.75" customHeight="1">
      <c r="A26" s="506" t="s">
        <v>36</v>
      </c>
      <c r="B26" s="553">
        <f t="shared" si="7"/>
        <v>27695</v>
      </c>
      <c r="C26" s="556">
        <f t="shared" si="7"/>
        <v>13563</v>
      </c>
      <c r="D26" s="555">
        <f t="shared" si="7"/>
        <v>14132</v>
      </c>
      <c r="E26" s="553">
        <f t="shared" si="8"/>
        <v>9103</v>
      </c>
      <c r="F26" s="556">
        <v>4801</v>
      </c>
      <c r="G26" s="555">
        <v>4302</v>
      </c>
      <c r="H26" s="553">
        <f t="shared" si="9"/>
        <v>16365</v>
      </c>
      <c r="I26" s="556">
        <v>7626</v>
      </c>
      <c r="J26" s="557">
        <v>8739</v>
      </c>
      <c r="K26" s="553">
        <f t="shared" si="10"/>
        <v>2227</v>
      </c>
      <c r="L26" s="556">
        <v>1136</v>
      </c>
      <c r="M26" s="557">
        <v>1091</v>
      </c>
      <c r="N26" s="145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</row>
    <row r="27" spans="1:230" s="491" customFormat="1" ht="5.25" customHeight="1">
      <c r="A27" s="506"/>
      <c r="B27" s="553"/>
      <c r="C27" s="556"/>
      <c r="D27" s="555"/>
      <c r="E27" s="553"/>
      <c r="F27" s="556"/>
      <c r="G27" s="555"/>
      <c r="H27" s="553"/>
      <c r="I27" s="556"/>
      <c r="J27" s="557"/>
      <c r="K27" s="553"/>
      <c r="L27" s="556"/>
      <c r="M27" s="557"/>
      <c r="N27" s="145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</row>
    <row r="28" spans="1:230" s="491" customFormat="1" ht="27" customHeight="1">
      <c r="A28" s="1241" t="s">
        <v>51</v>
      </c>
      <c r="B28" s="553">
        <f t="shared" si="7"/>
        <v>19563</v>
      </c>
      <c r="C28" s="556">
        <f t="shared" si="7"/>
        <v>9031</v>
      </c>
      <c r="D28" s="555">
        <f t="shared" si="7"/>
        <v>10532</v>
      </c>
      <c r="E28" s="553">
        <f t="shared" si="8"/>
        <v>10457</v>
      </c>
      <c r="F28" s="556">
        <v>4554</v>
      </c>
      <c r="G28" s="555">
        <v>5903</v>
      </c>
      <c r="H28" s="553">
        <f t="shared" si="9"/>
        <v>8848</v>
      </c>
      <c r="I28" s="556">
        <f>103+4228</f>
        <v>4331</v>
      </c>
      <c r="J28" s="557">
        <f>98+4419</f>
        <v>4517</v>
      </c>
      <c r="K28" s="553">
        <f t="shared" si="10"/>
        <v>258</v>
      </c>
      <c r="L28" s="556">
        <v>146</v>
      </c>
      <c r="M28" s="557">
        <v>112</v>
      </c>
      <c r="N28" s="145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</row>
    <row r="29" spans="1:230" s="491" customFormat="1" ht="21.75" customHeight="1">
      <c r="A29" s="506" t="s">
        <v>38</v>
      </c>
      <c r="B29" s="553">
        <f>SUM(E29,H29,K29)</f>
        <v>3654</v>
      </c>
      <c r="C29" s="556">
        <f>SUM(F29,I29,L29)</f>
        <v>1693</v>
      </c>
      <c r="D29" s="555">
        <f>SUM(G29,J29,M29)</f>
        <v>1961</v>
      </c>
      <c r="E29" s="567" t="s">
        <v>39</v>
      </c>
      <c r="F29" s="568" t="s">
        <v>39</v>
      </c>
      <c r="G29" s="558" t="s">
        <v>39</v>
      </c>
      <c r="H29" s="553">
        <f t="shared" si="9"/>
        <v>3654</v>
      </c>
      <c r="I29" s="556">
        <f>1274+419</f>
        <v>1693</v>
      </c>
      <c r="J29" s="557">
        <f>1490+471</f>
        <v>1961</v>
      </c>
      <c r="K29" s="567" t="s">
        <v>39</v>
      </c>
      <c r="L29" s="568" t="s">
        <v>39</v>
      </c>
      <c r="M29" s="575" t="s">
        <v>39</v>
      </c>
      <c r="N29" s="145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</row>
    <row r="30" spans="1:230" s="491" customFormat="1" ht="21.75" customHeight="1">
      <c r="A30" s="526" t="s">
        <v>52</v>
      </c>
      <c r="B30" s="570">
        <f>E30+H30+K30</f>
        <v>116226</v>
      </c>
      <c r="C30" s="571">
        <f>F30+I30+L30</f>
        <v>55389</v>
      </c>
      <c r="D30" s="573">
        <f>G30+J30+M30</f>
        <v>60837</v>
      </c>
      <c r="E30" s="570">
        <f t="shared" si="8"/>
        <v>48561</v>
      </c>
      <c r="F30" s="571">
        <f>SUM(F24:F29)</f>
        <v>22978</v>
      </c>
      <c r="G30" s="573">
        <f>SUM(G24:G29)</f>
        <v>25583</v>
      </c>
      <c r="H30" s="570">
        <f t="shared" si="9"/>
        <v>61617</v>
      </c>
      <c r="I30" s="571">
        <f>SUM(I24:I29)</f>
        <v>29152</v>
      </c>
      <c r="J30" s="572">
        <f>SUM(J24:J29)</f>
        <v>32465</v>
      </c>
      <c r="K30" s="570">
        <f t="shared" si="10"/>
        <v>6048</v>
      </c>
      <c r="L30" s="571">
        <f>SUM(L24:L29)</f>
        <v>3259</v>
      </c>
      <c r="M30" s="572">
        <f>SUM(M24:M29)</f>
        <v>2789</v>
      </c>
      <c r="N30" s="145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</row>
    <row r="31" ht="6.75" customHeight="1">
      <c r="A31" s="542"/>
    </row>
    <row r="32" spans="1:230" s="545" customFormat="1" ht="15" customHeight="1">
      <c r="A32" s="545" t="s">
        <v>256</v>
      </c>
      <c r="N32" s="14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</row>
    <row r="33" spans="1:230" s="576" customFormat="1" ht="16.5" customHeight="1">
      <c r="A33" s="1448" t="s">
        <v>262</v>
      </c>
      <c r="B33" s="1448"/>
      <c r="C33" s="1448"/>
      <c r="D33" s="1448"/>
      <c r="E33" s="1448"/>
      <c r="F33" s="1448"/>
      <c r="G33" s="1448"/>
      <c r="H33" s="1448"/>
      <c r="I33" s="1448"/>
      <c r="J33" s="1448"/>
      <c r="N33" s="142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</row>
    <row r="34" ht="12.75" customHeight="1"/>
    <row r="35" ht="12.75"/>
    <row r="36" ht="13.5">
      <c r="C36" s="1240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</sheetData>
  <sheetProtection/>
  <mergeCells count="13">
    <mergeCell ref="A33:J33"/>
    <mergeCell ref="H3:M3"/>
    <mergeCell ref="H4:J4"/>
    <mergeCell ref="K4:M4"/>
    <mergeCell ref="E3:G4"/>
    <mergeCell ref="B3:D4"/>
    <mergeCell ref="H21:M21"/>
    <mergeCell ref="H22:J22"/>
    <mergeCell ref="K22:M22"/>
    <mergeCell ref="B21:D22"/>
    <mergeCell ref="A21:A23"/>
    <mergeCell ref="E21:G22"/>
    <mergeCell ref="A3:A5"/>
  </mergeCells>
  <printOptions/>
  <pageMargins left="0.24" right="0.2" top="0.5" bottom="0.1" header="0.25" footer="0.25"/>
  <pageSetup horizontalDpi="300" verticalDpi="3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6" sqref="H16"/>
    </sheetView>
  </sheetViews>
  <sheetFormatPr defaultColWidth="9.140625" defaultRowHeight="12.75"/>
  <cols>
    <col min="1" max="1" width="34.28125" style="581" customWidth="1"/>
    <col min="2" max="6" width="7.140625" style="581" customWidth="1"/>
    <col min="7" max="8" width="7.28125" style="581" customWidth="1"/>
    <col min="9" max="9" width="7.7109375" style="581" customWidth="1"/>
    <col min="10" max="10" width="6.28125" style="581" customWidth="1"/>
    <col min="11" max="11" width="5.00390625" style="581" customWidth="1"/>
    <col min="12" max="16384" width="9.140625" style="581" customWidth="1"/>
  </cols>
  <sheetData>
    <row r="1" ht="24.75" customHeight="1">
      <c r="A1" s="580" t="s">
        <v>359</v>
      </c>
    </row>
    <row r="2" ht="15.75" customHeight="1">
      <c r="A2" s="582"/>
    </row>
    <row r="3" spans="1:9" s="585" customFormat="1" ht="28.5" customHeight="1">
      <c r="A3" s="1449" t="s">
        <v>16</v>
      </c>
      <c r="B3" s="583" t="s">
        <v>101</v>
      </c>
      <c r="C3" s="583"/>
      <c r="D3" s="583"/>
      <c r="E3" s="583"/>
      <c r="F3" s="583"/>
      <c r="G3" s="583"/>
      <c r="H3" s="584"/>
      <c r="I3" s="583" t="s">
        <v>150</v>
      </c>
    </row>
    <row r="4" spans="1:9" s="585" customFormat="1" ht="28.5" customHeight="1">
      <c r="A4" s="1450"/>
      <c r="B4" s="586" t="s">
        <v>87</v>
      </c>
      <c r="C4" s="587" t="s">
        <v>88</v>
      </c>
      <c r="D4" s="587" t="s">
        <v>89</v>
      </c>
      <c r="E4" s="587" t="s">
        <v>90</v>
      </c>
      <c r="F4" s="587" t="s">
        <v>91</v>
      </c>
      <c r="G4" s="588" t="s">
        <v>151</v>
      </c>
      <c r="H4" s="589" t="s">
        <v>152</v>
      </c>
      <c r="I4" s="590" t="s">
        <v>153</v>
      </c>
    </row>
    <row r="5" spans="1:9" s="585" customFormat="1" ht="31.5" customHeight="1">
      <c r="A5" s="591" t="s">
        <v>59</v>
      </c>
      <c r="B5" s="592">
        <v>2164</v>
      </c>
      <c r="C5" s="592">
        <v>2392</v>
      </c>
      <c r="D5" s="592">
        <v>2525</v>
      </c>
      <c r="E5" s="596">
        <v>2689</v>
      </c>
      <c r="F5" s="592">
        <v>2771</v>
      </c>
      <c r="G5" s="592">
        <v>1506</v>
      </c>
      <c r="H5" s="593">
        <v>1616</v>
      </c>
      <c r="I5" s="594">
        <f aca="true" t="shared" si="0" ref="I5:I16">SUM(B5:H5)</f>
        <v>15663</v>
      </c>
    </row>
    <row r="6" spans="1:9" s="585" customFormat="1" ht="31.5" customHeight="1">
      <c r="A6" s="595" t="s">
        <v>60</v>
      </c>
      <c r="B6" s="596">
        <v>1426</v>
      </c>
      <c r="C6" s="596">
        <v>1465</v>
      </c>
      <c r="D6" s="596">
        <v>1565</v>
      </c>
      <c r="E6" s="596">
        <v>1606</v>
      </c>
      <c r="F6" s="596">
        <v>1797</v>
      </c>
      <c r="G6" s="596">
        <v>797</v>
      </c>
      <c r="H6" s="597">
        <v>801</v>
      </c>
      <c r="I6" s="598">
        <f t="shared" si="0"/>
        <v>9457</v>
      </c>
    </row>
    <row r="7" spans="1:9" s="585" customFormat="1" ht="31.5" customHeight="1">
      <c r="A7" s="595" t="s">
        <v>62</v>
      </c>
      <c r="B7" s="596">
        <v>1497</v>
      </c>
      <c r="C7" s="596">
        <v>1428</v>
      </c>
      <c r="D7" s="596">
        <v>1602</v>
      </c>
      <c r="E7" s="596">
        <v>1869</v>
      </c>
      <c r="F7" s="596">
        <v>1841</v>
      </c>
      <c r="G7" s="596">
        <v>881</v>
      </c>
      <c r="H7" s="597">
        <v>840</v>
      </c>
      <c r="I7" s="598">
        <f t="shared" si="0"/>
        <v>9958</v>
      </c>
    </row>
    <row r="8" spans="1:9" s="585" customFormat="1" ht="31.5" customHeight="1">
      <c r="A8" s="595" t="s">
        <v>63</v>
      </c>
      <c r="B8" s="596">
        <v>1867</v>
      </c>
      <c r="C8" s="596">
        <v>1838</v>
      </c>
      <c r="D8" s="596">
        <v>2043</v>
      </c>
      <c r="E8" s="596">
        <v>2503</v>
      </c>
      <c r="F8" s="596">
        <v>2467</v>
      </c>
      <c r="G8" s="596">
        <v>1060</v>
      </c>
      <c r="H8" s="597">
        <v>1086</v>
      </c>
      <c r="I8" s="598">
        <f t="shared" si="0"/>
        <v>12864</v>
      </c>
    </row>
    <row r="9" spans="1:9" s="585" customFormat="1" ht="31.5" customHeight="1">
      <c r="A9" s="595" t="s">
        <v>64</v>
      </c>
      <c r="B9" s="596">
        <v>920</v>
      </c>
      <c r="C9" s="596">
        <v>833</v>
      </c>
      <c r="D9" s="596">
        <v>1020</v>
      </c>
      <c r="E9" s="596">
        <v>1225</v>
      </c>
      <c r="F9" s="596">
        <v>1451</v>
      </c>
      <c r="G9" s="596">
        <v>572</v>
      </c>
      <c r="H9" s="597">
        <v>653</v>
      </c>
      <c r="I9" s="598">
        <f t="shared" si="0"/>
        <v>6674</v>
      </c>
    </row>
    <row r="10" spans="1:9" s="585" customFormat="1" ht="31.5" customHeight="1">
      <c r="A10" s="595" t="s">
        <v>65</v>
      </c>
      <c r="B10" s="596">
        <v>607</v>
      </c>
      <c r="C10" s="596">
        <v>629</v>
      </c>
      <c r="D10" s="596">
        <v>651</v>
      </c>
      <c r="E10" s="596">
        <v>906</v>
      </c>
      <c r="F10" s="596">
        <v>939</v>
      </c>
      <c r="G10" s="596">
        <v>277</v>
      </c>
      <c r="H10" s="597">
        <v>289</v>
      </c>
      <c r="I10" s="598">
        <f t="shared" si="0"/>
        <v>4298</v>
      </c>
    </row>
    <row r="11" spans="1:9" s="585" customFormat="1" ht="31.5" customHeight="1">
      <c r="A11" s="595" t="s">
        <v>66</v>
      </c>
      <c r="B11" s="596">
        <v>6622</v>
      </c>
      <c r="C11" s="596">
        <v>6872</v>
      </c>
      <c r="D11" s="596">
        <v>7225</v>
      </c>
      <c r="E11" s="596">
        <v>7558</v>
      </c>
      <c r="F11" s="596">
        <v>7541</v>
      </c>
      <c r="G11" s="596">
        <v>5083</v>
      </c>
      <c r="H11" s="597">
        <v>4623</v>
      </c>
      <c r="I11" s="598">
        <f t="shared" si="0"/>
        <v>45524</v>
      </c>
    </row>
    <row r="12" spans="1:9" s="585" customFormat="1" ht="31.5" customHeight="1">
      <c r="A12" s="595" t="s">
        <v>67</v>
      </c>
      <c r="B12" s="596">
        <v>824</v>
      </c>
      <c r="C12" s="596">
        <v>837</v>
      </c>
      <c r="D12" s="596">
        <v>942</v>
      </c>
      <c r="E12" s="596">
        <v>966</v>
      </c>
      <c r="F12" s="596">
        <v>1151</v>
      </c>
      <c r="G12" s="596">
        <v>633</v>
      </c>
      <c r="H12" s="597">
        <v>678</v>
      </c>
      <c r="I12" s="598">
        <f t="shared" si="0"/>
        <v>6031</v>
      </c>
    </row>
    <row r="13" spans="1:9" s="585" customFormat="1" ht="31.5" customHeight="1">
      <c r="A13" s="595" t="s">
        <v>68</v>
      </c>
      <c r="B13" s="596">
        <v>345</v>
      </c>
      <c r="C13" s="596">
        <v>383</v>
      </c>
      <c r="D13" s="596">
        <v>351</v>
      </c>
      <c r="E13" s="596">
        <v>355</v>
      </c>
      <c r="F13" s="596">
        <v>466</v>
      </c>
      <c r="G13" s="596">
        <v>96</v>
      </c>
      <c r="H13" s="597">
        <v>107</v>
      </c>
      <c r="I13" s="598">
        <f t="shared" si="0"/>
        <v>2103</v>
      </c>
    </row>
    <row r="14" spans="1:9" s="585" customFormat="1" ht="31.5" customHeight="1">
      <c r="A14" s="591" t="s">
        <v>69</v>
      </c>
      <c r="B14" s="592">
        <f aca="true" t="shared" si="1" ref="B14:H14">SUM(B5:B13)</f>
        <v>16272</v>
      </c>
      <c r="C14" s="592">
        <f t="shared" si="1"/>
        <v>16677</v>
      </c>
      <c r="D14" s="592">
        <f t="shared" si="1"/>
        <v>17924</v>
      </c>
      <c r="E14" s="592">
        <f t="shared" si="1"/>
        <v>19677</v>
      </c>
      <c r="F14" s="592">
        <f t="shared" si="1"/>
        <v>20424</v>
      </c>
      <c r="G14" s="592">
        <f t="shared" si="1"/>
        <v>10905</v>
      </c>
      <c r="H14" s="593">
        <f t="shared" si="1"/>
        <v>10693</v>
      </c>
      <c r="I14" s="594">
        <f t="shared" si="0"/>
        <v>112572</v>
      </c>
    </row>
    <row r="15" spans="1:9" s="585" customFormat="1" ht="31.5" customHeight="1">
      <c r="A15" s="595" t="s">
        <v>70</v>
      </c>
      <c r="B15" s="596">
        <v>537</v>
      </c>
      <c r="C15" s="596">
        <v>569</v>
      </c>
      <c r="D15" s="596">
        <v>708</v>
      </c>
      <c r="E15" s="596">
        <v>678</v>
      </c>
      <c r="F15" s="596">
        <v>656</v>
      </c>
      <c r="G15" s="596">
        <v>230</v>
      </c>
      <c r="H15" s="597">
        <v>276</v>
      </c>
      <c r="I15" s="598">
        <f t="shared" si="0"/>
        <v>3654</v>
      </c>
    </row>
    <row r="16" spans="1:9" s="585" customFormat="1" ht="31.5" customHeight="1">
      <c r="A16" s="599" t="s">
        <v>94</v>
      </c>
      <c r="B16" s="600">
        <f>SUM(B14:B15)</f>
        <v>16809</v>
      </c>
      <c r="C16" s="600">
        <f aca="true" t="shared" si="2" ref="C16:H16">SUM(C14:C15)</f>
        <v>17246</v>
      </c>
      <c r="D16" s="600">
        <f t="shared" si="2"/>
        <v>18632</v>
      </c>
      <c r="E16" s="600">
        <f t="shared" si="2"/>
        <v>20355</v>
      </c>
      <c r="F16" s="600">
        <f t="shared" si="2"/>
        <v>21080</v>
      </c>
      <c r="G16" s="600">
        <f t="shared" si="2"/>
        <v>11135</v>
      </c>
      <c r="H16" s="601">
        <f t="shared" si="2"/>
        <v>10969</v>
      </c>
      <c r="I16" s="602">
        <f t="shared" si="0"/>
        <v>116226</v>
      </c>
    </row>
    <row r="17" s="585" customFormat="1" ht="16.5" customHeight="1">
      <c r="A17" s="585" t="s">
        <v>102</v>
      </c>
    </row>
    <row r="18" s="585" customFormat="1" ht="24" customHeight="1">
      <c r="A18" s="580" t="s">
        <v>360</v>
      </c>
    </row>
    <row r="19" s="585" customFormat="1" ht="16.5" customHeight="1"/>
    <row r="20" spans="1:9" s="585" customFormat="1" ht="28.5" customHeight="1">
      <c r="A20" s="1449" t="s">
        <v>33</v>
      </c>
      <c r="B20" s="603" t="s">
        <v>101</v>
      </c>
      <c r="C20" s="604"/>
      <c r="D20" s="603"/>
      <c r="E20" s="604"/>
      <c r="F20" s="603"/>
      <c r="G20" s="604"/>
      <c r="H20" s="605"/>
      <c r="I20" s="583" t="s">
        <v>150</v>
      </c>
    </row>
    <row r="21" spans="1:9" s="585" customFormat="1" ht="28.5" customHeight="1">
      <c r="A21" s="1450"/>
      <c r="B21" s="586" t="s">
        <v>87</v>
      </c>
      <c r="C21" s="587" t="s">
        <v>88</v>
      </c>
      <c r="D21" s="587" t="s">
        <v>89</v>
      </c>
      <c r="E21" s="587" t="s">
        <v>90</v>
      </c>
      <c r="F21" s="587" t="s">
        <v>91</v>
      </c>
      <c r="G21" s="588" t="s">
        <v>151</v>
      </c>
      <c r="H21" s="589" t="s">
        <v>152</v>
      </c>
      <c r="I21" s="590" t="s">
        <v>153</v>
      </c>
    </row>
    <row r="22" spans="1:9" s="585" customFormat="1" ht="32.25" customHeight="1">
      <c r="A22" s="595" t="s">
        <v>34</v>
      </c>
      <c r="B22" s="592">
        <v>5138</v>
      </c>
      <c r="C22" s="592">
        <v>5340</v>
      </c>
      <c r="D22" s="592">
        <v>5749</v>
      </c>
      <c r="E22" s="592">
        <v>6249</v>
      </c>
      <c r="F22" s="592">
        <v>6521</v>
      </c>
      <c r="G22" s="592">
        <v>3228</v>
      </c>
      <c r="H22" s="593">
        <v>3313</v>
      </c>
      <c r="I22" s="594">
        <f>SUM(B22:H22)</f>
        <v>35538</v>
      </c>
    </row>
    <row r="23" spans="1:9" s="585" customFormat="1" ht="32.25" customHeight="1">
      <c r="A23" s="595" t="s">
        <v>35</v>
      </c>
      <c r="B23" s="606">
        <v>4316</v>
      </c>
      <c r="C23" s="607">
        <v>4370</v>
      </c>
      <c r="D23" s="607">
        <v>4731</v>
      </c>
      <c r="E23" s="607">
        <v>5071</v>
      </c>
      <c r="F23" s="607">
        <v>5281</v>
      </c>
      <c r="G23" s="607">
        <v>3076</v>
      </c>
      <c r="H23" s="608">
        <v>2931</v>
      </c>
      <c r="I23" s="598">
        <f>SUM(B23:H23)</f>
        <v>29776</v>
      </c>
    </row>
    <row r="24" spans="1:9" s="585" customFormat="1" ht="32.25" customHeight="1">
      <c r="A24" s="595" t="s">
        <v>36</v>
      </c>
      <c r="B24" s="596">
        <v>3880</v>
      </c>
      <c r="C24" s="596">
        <v>3842</v>
      </c>
      <c r="D24" s="596">
        <v>4187</v>
      </c>
      <c r="E24" s="596">
        <v>5008</v>
      </c>
      <c r="F24" s="596">
        <v>5104</v>
      </c>
      <c r="G24" s="596">
        <v>2822</v>
      </c>
      <c r="H24" s="597">
        <v>2852</v>
      </c>
      <c r="I24" s="598">
        <f>SUM(B24:H24)</f>
        <v>27695</v>
      </c>
    </row>
    <row r="25" spans="1:9" s="585" customFormat="1" ht="32.25" customHeight="1">
      <c r="A25" s="595" t="s">
        <v>51</v>
      </c>
      <c r="B25" s="606">
        <v>2938</v>
      </c>
      <c r="C25" s="607">
        <v>3125</v>
      </c>
      <c r="D25" s="607">
        <v>3257</v>
      </c>
      <c r="E25" s="607">
        <v>3349</v>
      </c>
      <c r="F25" s="607">
        <v>3518</v>
      </c>
      <c r="G25" s="607">
        <v>1779</v>
      </c>
      <c r="H25" s="608">
        <v>1597</v>
      </c>
      <c r="I25" s="598">
        <f>SUM(B25:H25)</f>
        <v>19563</v>
      </c>
    </row>
    <row r="26" spans="1:9" s="585" customFormat="1" ht="32.25" customHeight="1">
      <c r="A26" s="595" t="s">
        <v>38</v>
      </c>
      <c r="B26" s="596">
        <v>537</v>
      </c>
      <c r="C26" s="596">
        <v>569</v>
      </c>
      <c r="D26" s="596">
        <v>708</v>
      </c>
      <c r="E26" s="596">
        <v>678</v>
      </c>
      <c r="F26" s="596">
        <v>656</v>
      </c>
      <c r="G26" s="596">
        <v>230</v>
      </c>
      <c r="H26" s="597">
        <v>276</v>
      </c>
      <c r="I26" s="598">
        <f>SUM(B26:H26)</f>
        <v>3654</v>
      </c>
    </row>
    <row r="27" spans="1:9" s="585" customFormat="1" ht="32.25" customHeight="1">
      <c r="A27" s="599" t="s">
        <v>76</v>
      </c>
      <c r="B27" s="600">
        <f aca="true" t="shared" si="3" ref="B27:I27">SUM(B22:B26)</f>
        <v>16809</v>
      </c>
      <c r="C27" s="600">
        <f t="shared" si="3"/>
        <v>17246</v>
      </c>
      <c r="D27" s="600">
        <f t="shared" si="3"/>
        <v>18632</v>
      </c>
      <c r="E27" s="600">
        <f t="shared" si="3"/>
        <v>20355</v>
      </c>
      <c r="F27" s="600">
        <f t="shared" si="3"/>
        <v>21080</v>
      </c>
      <c r="G27" s="600">
        <f t="shared" si="3"/>
        <v>11135</v>
      </c>
      <c r="H27" s="601">
        <f t="shared" si="3"/>
        <v>10969</v>
      </c>
      <c r="I27" s="602">
        <f t="shared" si="3"/>
        <v>116226</v>
      </c>
    </row>
  </sheetData>
  <sheetProtection/>
  <mergeCells count="2">
    <mergeCell ref="A20:A21"/>
    <mergeCell ref="A3:A4"/>
  </mergeCells>
  <printOptions/>
  <pageMargins left="0.7" right="0.27" top="0.7" bottom="0.3" header="0.38" footer="0.25"/>
  <pageSetup horizontalDpi="600" verticalDpi="600" orientation="portrait" paperSize="9" r:id="rId1"/>
  <headerFooter alignWithMargins="0">
    <oddHeader xml:space="preserve">&amp;C&amp;"Times New Roman,Regular" - 21 -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pane xSplit="12" ySplit="5" topLeftCell="M6" activePane="bottomRight" state="frozen"/>
      <selection pane="topLeft" activeCell="A1" sqref="A1"/>
      <selection pane="topRight" activeCell="M1" sqref="M1"/>
      <selection pane="bottomLeft" activeCell="A6" sqref="A6"/>
      <selection pane="bottomRight" activeCell="K20" sqref="K20"/>
    </sheetView>
  </sheetViews>
  <sheetFormatPr defaultColWidth="9.140625" defaultRowHeight="12.75"/>
  <cols>
    <col min="1" max="1" width="2.00390625" style="610" customWidth="1"/>
    <col min="2" max="2" width="3.28125" style="610" customWidth="1"/>
    <col min="3" max="3" width="7.7109375" style="610" customWidth="1"/>
    <col min="4" max="6" width="7.7109375" style="610" hidden="1" customWidth="1"/>
    <col min="7" max="15" width="8.57421875" style="610" customWidth="1"/>
    <col min="16" max="16" width="4.421875" style="610" customWidth="1"/>
    <col min="17" max="16384" width="9.140625" style="610" customWidth="1"/>
  </cols>
  <sheetData>
    <row r="1" ht="20.25" customHeight="1">
      <c r="A1" s="609" t="s">
        <v>361</v>
      </c>
    </row>
    <row r="2" ht="11.25" customHeight="1"/>
    <row r="3" spans="1:15" ht="20.25" customHeight="1">
      <c r="A3" s="1454" t="s">
        <v>101</v>
      </c>
      <c r="B3" s="1455"/>
      <c r="C3" s="1456"/>
      <c r="D3" s="611">
        <v>2005</v>
      </c>
      <c r="E3" s="611"/>
      <c r="F3" s="612"/>
      <c r="G3" s="1460">
        <v>2007</v>
      </c>
      <c r="H3" s="1461"/>
      <c r="I3" s="1462"/>
      <c r="J3" s="1460">
        <v>2008</v>
      </c>
      <c r="K3" s="1461"/>
      <c r="L3" s="1462"/>
      <c r="M3" s="1460">
        <v>2009</v>
      </c>
      <c r="N3" s="1461"/>
      <c r="O3" s="1462"/>
    </row>
    <row r="4" spans="1:15" ht="20.25" customHeight="1">
      <c r="A4" s="1457"/>
      <c r="B4" s="1458"/>
      <c r="C4" s="1459"/>
      <c r="D4" s="613" t="s">
        <v>5</v>
      </c>
      <c r="E4" s="614" t="s">
        <v>43</v>
      </c>
      <c r="F4" s="615" t="s">
        <v>44</v>
      </c>
      <c r="G4" s="613" t="s">
        <v>5</v>
      </c>
      <c r="H4" s="614" t="s">
        <v>43</v>
      </c>
      <c r="I4" s="615" t="s">
        <v>44</v>
      </c>
      <c r="J4" s="613" t="s">
        <v>5</v>
      </c>
      <c r="K4" s="614" t="s">
        <v>43</v>
      </c>
      <c r="L4" s="615" t="s">
        <v>44</v>
      </c>
      <c r="M4" s="613" t="s">
        <v>5</v>
      </c>
      <c r="N4" s="614" t="s">
        <v>43</v>
      </c>
      <c r="O4" s="615" t="s">
        <v>44</v>
      </c>
    </row>
    <row r="5" spans="1:15" ht="20.25" customHeight="1">
      <c r="A5" s="1451" t="s">
        <v>50</v>
      </c>
      <c r="B5" s="1452"/>
      <c r="C5" s="1452"/>
      <c r="D5" s="1452"/>
      <c r="E5" s="1452"/>
      <c r="F5" s="1452"/>
      <c r="G5" s="1452"/>
      <c r="H5" s="1452"/>
      <c r="I5" s="1452"/>
      <c r="J5" s="1452"/>
      <c r="K5" s="1452"/>
      <c r="L5" s="1452"/>
      <c r="M5" s="1452"/>
      <c r="N5" s="1452"/>
      <c r="O5" s="1453"/>
    </row>
    <row r="6" spans="1:15" ht="26.25" customHeight="1">
      <c r="A6" s="616" t="s">
        <v>102</v>
      </c>
      <c r="B6" s="617" t="s">
        <v>154</v>
      </c>
      <c r="C6" s="618"/>
      <c r="D6" s="619">
        <v>17986</v>
      </c>
      <c r="E6" s="619">
        <f aca="true" t="shared" si="0" ref="E6:E12">D6-F6</f>
        <v>8686</v>
      </c>
      <c r="F6" s="620">
        <v>9300</v>
      </c>
      <c r="G6" s="619">
        <v>18328</v>
      </c>
      <c r="H6" s="619">
        <f aca="true" t="shared" si="1" ref="H6:H12">G6-I6</f>
        <v>8806</v>
      </c>
      <c r="I6" s="620">
        <v>9522</v>
      </c>
      <c r="J6" s="619">
        <v>17028</v>
      </c>
      <c r="K6" s="619">
        <f aca="true" t="shared" si="2" ref="K6:K12">J6-L6</f>
        <v>8169</v>
      </c>
      <c r="L6" s="620">
        <v>8859</v>
      </c>
      <c r="M6" s="619">
        <v>16809</v>
      </c>
      <c r="N6" s="619">
        <f aca="true" t="shared" si="3" ref="N6:N12">M6-O6</f>
        <v>8197</v>
      </c>
      <c r="O6" s="660">
        <v>8612</v>
      </c>
    </row>
    <row r="7" spans="1:15" ht="26.25" customHeight="1">
      <c r="A7" s="621"/>
      <c r="B7" s="622" t="s">
        <v>155</v>
      </c>
      <c r="C7" s="623"/>
      <c r="D7" s="624">
        <v>18554</v>
      </c>
      <c r="E7" s="624">
        <f t="shared" si="0"/>
        <v>8873</v>
      </c>
      <c r="F7" s="625">
        <v>9681</v>
      </c>
      <c r="G7" s="624">
        <v>18759</v>
      </c>
      <c r="H7" s="624">
        <f t="shared" si="1"/>
        <v>9074</v>
      </c>
      <c r="I7" s="625">
        <v>9685</v>
      </c>
      <c r="J7" s="624">
        <v>18269</v>
      </c>
      <c r="K7" s="624">
        <f t="shared" si="2"/>
        <v>8740</v>
      </c>
      <c r="L7" s="625">
        <v>9529</v>
      </c>
      <c r="M7" s="624">
        <v>17246</v>
      </c>
      <c r="N7" s="624">
        <f t="shared" si="3"/>
        <v>8210</v>
      </c>
      <c r="O7" s="666">
        <v>9036</v>
      </c>
    </row>
    <row r="8" spans="1:15" ht="26.25" customHeight="1">
      <c r="A8" s="621"/>
      <c r="B8" s="622" t="s">
        <v>89</v>
      </c>
      <c r="C8" s="623"/>
      <c r="D8" s="624">
        <v>18993</v>
      </c>
      <c r="E8" s="624">
        <f t="shared" si="0"/>
        <v>9206</v>
      </c>
      <c r="F8" s="625">
        <v>9787</v>
      </c>
      <c r="G8" s="624">
        <v>18372</v>
      </c>
      <c r="H8" s="624">
        <f t="shared" si="1"/>
        <v>8959</v>
      </c>
      <c r="I8" s="625">
        <v>9413</v>
      </c>
      <c r="J8" s="624">
        <v>18792</v>
      </c>
      <c r="K8" s="624">
        <f t="shared" si="2"/>
        <v>9092</v>
      </c>
      <c r="L8" s="625">
        <v>9700</v>
      </c>
      <c r="M8" s="624">
        <v>18632</v>
      </c>
      <c r="N8" s="624">
        <f t="shared" si="3"/>
        <v>8980</v>
      </c>
      <c r="O8" s="666">
        <v>9652</v>
      </c>
    </row>
    <row r="9" spans="1:15" ht="26.25" customHeight="1">
      <c r="A9" s="621"/>
      <c r="B9" s="622" t="s">
        <v>90</v>
      </c>
      <c r="C9" s="623"/>
      <c r="D9" s="624">
        <v>18851</v>
      </c>
      <c r="E9" s="624">
        <f t="shared" si="0"/>
        <v>9089</v>
      </c>
      <c r="F9" s="625">
        <v>9762</v>
      </c>
      <c r="G9" s="624">
        <v>20192</v>
      </c>
      <c r="H9" s="624">
        <f t="shared" si="1"/>
        <v>9655</v>
      </c>
      <c r="I9" s="625">
        <v>10537</v>
      </c>
      <c r="J9" s="624">
        <v>19932</v>
      </c>
      <c r="K9" s="624">
        <f t="shared" si="2"/>
        <v>9794</v>
      </c>
      <c r="L9" s="625">
        <v>10138</v>
      </c>
      <c r="M9" s="624">
        <v>20355</v>
      </c>
      <c r="N9" s="624">
        <f t="shared" si="3"/>
        <v>9968</v>
      </c>
      <c r="O9" s="666">
        <v>10387</v>
      </c>
    </row>
    <row r="10" spans="1:15" ht="26.25" customHeight="1">
      <c r="A10" s="621"/>
      <c r="B10" s="622" t="s">
        <v>156</v>
      </c>
      <c r="C10" s="623"/>
      <c r="D10" s="624">
        <v>18725</v>
      </c>
      <c r="E10" s="624">
        <f t="shared" si="0"/>
        <v>9068</v>
      </c>
      <c r="F10" s="625">
        <v>9657</v>
      </c>
      <c r="G10" s="624">
        <v>20996</v>
      </c>
      <c r="H10" s="624">
        <f t="shared" si="1"/>
        <v>10209</v>
      </c>
      <c r="I10" s="625">
        <v>10787</v>
      </c>
      <c r="J10" s="624">
        <v>21267</v>
      </c>
      <c r="K10" s="624">
        <f t="shared" si="2"/>
        <v>10386</v>
      </c>
      <c r="L10" s="625">
        <v>10881</v>
      </c>
      <c r="M10" s="624">
        <v>21080</v>
      </c>
      <c r="N10" s="624">
        <f t="shared" si="3"/>
        <v>10151</v>
      </c>
      <c r="O10" s="666">
        <v>10929</v>
      </c>
    </row>
    <row r="11" spans="1:15" ht="26.25" customHeight="1">
      <c r="A11" s="621"/>
      <c r="B11" s="622" t="s">
        <v>92</v>
      </c>
      <c r="C11" s="626" t="s">
        <v>157</v>
      </c>
      <c r="D11" s="624">
        <v>8795</v>
      </c>
      <c r="E11" s="624">
        <f t="shared" si="0"/>
        <v>4072</v>
      </c>
      <c r="F11" s="625">
        <v>4723</v>
      </c>
      <c r="G11" s="624">
        <v>10166</v>
      </c>
      <c r="H11" s="624">
        <f t="shared" si="1"/>
        <v>4709</v>
      </c>
      <c r="I11" s="625">
        <v>5457</v>
      </c>
      <c r="J11" s="624">
        <v>10833</v>
      </c>
      <c r="K11" s="624">
        <f t="shared" si="2"/>
        <v>4847</v>
      </c>
      <c r="L11" s="625">
        <v>5986</v>
      </c>
      <c r="M11" s="624">
        <v>11135</v>
      </c>
      <c r="N11" s="624">
        <f t="shared" si="3"/>
        <v>4904</v>
      </c>
      <c r="O11" s="666">
        <v>6231</v>
      </c>
    </row>
    <row r="12" spans="1:15" ht="26.25" customHeight="1">
      <c r="A12" s="627"/>
      <c r="B12" s="622" t="s">
        <v>158</v>
      </c>
      <c r="C12" s="628" t="s">
        <v>159</v>
      </c>
      <c r="D12" s="624">
        <v>8383</v>
      </c>
      <c r="E12" s="624">
        <f t="shared" si="0"/>
        <v>3994</v>
      </c>
      <c r="F12" s="625">
        <v>4389</v>
      </c>
      <c r="G12" s="624">
        <v>9893</v>
      </c>
      <c r="H12" s="624">
        <f t="shared" si="1"/>
        <v>4685</v>
      </c>
      <c r="I12" s="625">
        <v>5208</v>
      </c>
      <c r="J12" s="624">
        <v>10382</v>
      </c>
      <c r="K12" s="624">
        <f t="shared" si="2"/>
        <v>4845</v>
      </c>
      <c r="L12" s="625">
        <v>5537</v>
      </c>
      <c r="M12" s="624">
        <v>10969</v>
      </c>
      <c r="N12" s="624">
        <f t="shared" si="3"/>
        <v>4979</v>
      </c>
      <c r="O12" s="666">
        <v>5990</v>
      </c>
    </row>
    <row r="13" spans="1:15" ht="26.25" customHeight="1">
      <c r="A13" s="629" t="s">
        <v>5</v>
      </c>
      <c r="B13" s="630"/>
      <c r="C13" s="631"/>
      <c r="D13" s="632">
        <f aca="true" t="shared" si="4" ref="D13:O13">SUM(D6:D12)</f>
        <v>110287</v>
      </c>
      <c r="E13" s="633">
        <f t="shared" si="4"/>
        <v>52988</v>
      </c>
      <c r="F13" s="634">
        <f t="shared" si="4"/>
        <v>57299</v>
      </c>
      <c r="G13" s="632">
        <f aca="true" t="shared" si="5" ref="G13:L13">SUM(G6:G12)</f>
        <v>116706</v>
      </c>
      <c r="H13" s="633">
        <f t="shared" si="5"/>
        <v>56097</v>
      </c>
      <c r="I13" s="634">
        <f t="shared" si="5"/>
        <v>60609</v>
      </c>
      <c r="J13" s="632">
        <f t="shared" si="5"/>
        <v>116503</v>
      </c>
      <c r="K13" s="633">
        <f t="shared" si="5"/>
        <v>55873</v>
      </c>
      <c r="L13" s="634">
        <f t="shared" si="5"/>
        <v>60630</v>
      </c>
      <c r="M13" s="632">
        <f t="shared" si="4"/>
        <v>116226</v>
      </c>
      <c r="N13" s="633">
        <f t="shared" si="4"/>
        <v>55389</v>
      </c>
      <c r="O13" s="634">
        <f t="shared" si="4"/>
        <v>60837</v>
      </c>
    </row>
    <row r="14" spans="1:15" ht="26.25" customHeight="1">
      <c r="A14" s="1451" t="s">
        <v>48</v>
      </c>
      <c r="B14" s="1452"/>
      <c r="C14" s="1452"/>
      <c r="D14" s="1452"/>
      <c r="E14" s="1452"/>
      <c r="F14" s="1452"/>
      <c r="G14" s="1452"/>
      <c r="H14" s="1452"/>
      <c r="I14" s="1452"/>
      <c r="J14" s="1452"/>
      <c r="K14" s="1452"/>
      <c r="L14" s="1452"/>
      <c r="M14" s="1452"/>
      <c r="N14" s="1452"/>
      <c r="O14" s="1453"/>
    </row>
    <row r="15" spans="1:15" ht="26.25" customHeight="1">
      <c r="A15" s="616" t="s">
        <v>102</v>
      </c>
      <c r="B15" s="617" t="s">
        <v>154</v>
      </c>
      <c r="C15" s="618"/>
      <c r="D15" s="619">
        <v>17415</v>
      </c>
      <c r="E15" s="619">
        <f>D15-F15</f>
        <v>8387</v>
      </c>
      <c r="F15" s="625">
        <v>9028</v>
      </c>
      <c r="G15" s="619">
        <v>17683</v>
      </c>
      <c r="H15" s="619">
        <f aca="true" t="shared" si="6" ref="H15:H21">G15-I15</f>
        <v>8522</v>
      </c>
      <c r="I15" s="625">
        <v>9161</v>
      </c>
      <c r="J15" s="619">
        <v>16503</v>
      </c>
      <c r="K15" s="619">
        <f aca="true" t="shared" si="7" ref="K15:K21">J15-L15</f>
        <v>7930</v>
      </c>
      <c r="L15" s="625">
        <v>8573</v>
      </c>
      <c r="M15" s="619">
        <v>16272</v>
      </c>
      <c r="N15" s="619">
        <f aca="true" t="shared" si="8" ref="N15:N21">M15-O15</f>
        <v>7923</v>
      </c>
      <c r="O15" s="625">
        <v>8349</v>
      </c>
    </row>
    <row r="16" spans="1:15" ht="26.25" customHeight="1">
      <c r="A16" s="621"/>
      <c r="B16" s="622" t="s">
        <v>155</v>
      </c>
      <c r="C16" s="623"/>
      <c r="D16" s="624">
        <v>17921</v>
      </c>
      <c r="E16" s="635">
        <f aca="true" t="shared" si="9" ref="E16:E21">D16-F16</f>
        <v>8596</v>
      </c>
      <c r="F16" s="625">
        <v>9325</v>
      </c>
      <c r="G16" s="624">
        <v>18061</v>
      </c>
      <c r="H16" s="635">
        <f t="shared" si="6"/>
        <v>8728</v>
      </c>
      <c r="I16" s="625">
        <v>9333</v>
      </c>
      <c r="J16" s="624">
        <v>17616</v>
      </c>
      <c r="K16" s="635">
        <f t="shared" si="7"/>
        <v>8460</v>
      </c>
      <c r="L16" s="625">
        <v>9156</v>
      </c>
      <c r="M16" s="624">
        <v>16677</v>
      </c>
      <c r="N16" s="635">
        <f t="shared" si="8"/>
        <v>7954</v>
      </c>
      <c r="O16" s="625">
        <v>8723</v>
      </c>
    </row>
    <row r="17" spans="1:15" ht="26.25" customHeight="1">
      <c r="A17" s="621"/>
      <c r="B17" s="622" t="s">
        <v>89</v>
      </c>
      <c r="C17" s="623"/>
      <c r="D17" s="624">
        <v>18309</v>
      </c>
      <c r="E17" s="624">
        <f t="shared" si="9"/>
        <v>8889</v>
      </c>
      <c r="F17" s="625">
        <v>9420</v>
      </c>
      <c r="G17" s="624">
        <v>17737</v>
      </c>
      <c r="H17" s="624">
        <f t="shared" si="6"/>
        <v>8652</v>
      </c>
      <c r="I17" s="625">
        <v>9085</v>
      </c>
      <c r="J17" s="624">
        <v>18107</v>
      </c>
      <c r="K17" s="624">
        <f t="shared" si="7"/>
        <v>8740</v>
      </c>
      <c r="L17" s="625">
        <v>9367</v>
      </c>
      <c r="M17" s="624">
        <v>17924</v>
      </c>
      <c r="N17" s="624">
        <f t="shared" si="8"/>
        <v>8651</v>
      </c>
      <c r="O17" s="625">
        <v>9273</v>
      </c>
    </row>
    <row r="18" spans="1:15" ht="26.25" customHeight="1">
      <c r="A18" s="621"/>
      <c r="B18" s="622" t="s">
        <v>90</v>
      </c>
      <c r="C18" s="623"/>
      <c r="D18" s="624">
        <v>18239</v>
      </c>
      <c r="E18" s="635">
        <f t="shared" si="9"/>
        <v>8807</v>
      </c>
      <c r="F18" s="625">
        <v>9432</v>
      </c>
      <c r="G18" s="624">
        <v>19532</v>
      </c>
      <c r="H18" s="635">
        <f t="shared" si="6"/>
        <v>9369</v>
      </c>
      <c r="I18" s="625">
        <v>10163</v>
      </c>
      <c r="J18" s="624">
        <v>19343</v>
      </c>
      <c r="K18" s="635">
        <f t="shared" si="7"/>
        <v>9528</v>
      </c>
      <c r="L18" s="625">
        <v>9815</v>
      </c>
      <c r="M18" s="624">
        <v>19677</v>
      </c>
      <c r="N18" s="635">
        <f t="shared" si="8"/>
        <v>9636</v>
      </c>
      <c r="O18" s="625">
        <v>10041</v>
      </c>
    </row>
    <row r="19" spans="1:15" ht="26.25" customHeight="1">
      <c r="A19" s="621"/>
      <c r="B19" s="622" t="s">
        <v>156</v>
      </c>
      <c r="C19" s="623"/>
      <c r="D19" s="624">
        <v>18091</v>
      </c>
      <c r="E19" s="624">
        <f t="shared" si="9"/>
        <v>8773</v>
      </c>
      <c r="F19" s="625">
        <v>9318</v>
      </c>
      <c r="G19" s="624">
        <v>20344</v>
      </c>
      <c r="H19" s="624">
        <f t="shared" si="6"/>
        <v>9913</v>
      </c>
      <c r="I19" s="625">
        <v>10431</v>
      </c>
      <c r="J19" s="624">
        <v>20682</v>
      </c>
      <c r="K19" s="624">
        <f t="shared" si="7"/>
        <v>10127</v>
      </c>
      <c r="L19" s="625">
        <v>10555</v>
      </c>
      <c r="M19" s="624">
        <v>20424</v>
      </c>
      <c r="N19" s="624">
        <f t="shared" si="8"/>
        <v>9871</v>
      </c>
      <c r="O19" s="625">
        <v>10553</v>
      </c>
    </row>
    <row r="20" spans="1:15" ht="26.25" customHeight="1">
      <c r="A20" s="621"/>
      <c r="B20" s="622" t="s">
        <v>92</v>
      </c>
      <c r="C20" s="626" t="s">
        <v>157</v>
      </c>
      <c r="D20" s="624">
        <v>8623</v>
      </c>
      <c r="E20" s="635">
        <f t="shared" si="9"/>
        <v>3998</v>
      </c>
      <c r="F20" s="625">
        <v>4625</v>
      </c>
      <c r="G20" s="624">
        <v>9960</v>
      </c>
      <c r="H20" s="635">
        <f t="shared" si="6"/>
        <v>4615</v>
      </c>
      <c r="I20" s="625">
        <v>5345</v>
      </c>
      <c r="J20" s="624">
        <v>10612</v>
      </c>
      <c r="K20" s="635">
        <f t="shared" si="7"/>
        <v>4751</v>
      </c>
      <c r="L20" s="625">
        <v>5861</v>
      </c>
      <c r="M20" s="624">
        <v>10905</v>
      </c>
      <c r="N20" s="635">
        <f t="shared" si="8"/>
        <v>4803</v>
      </c>
      <c r="O20" s="625">
        <v>6102</v>
      </c>
    </row>
    <row r="21" spans="1:15" ht="26.25" customHeight="1">
      <c r="A21" s="627"/>
      <c r="B21" s="622" t="s">
        <v>158</v>
      </c>
      <c r="C21" s="628" t="s">
        <v>159</v>
      </c>
      <c r="D21" s="624">
        <v>8207</v>
      </c>
      <c r="E21" s="624">
        <f t="shared" si="9"/>
        <v>3913</v>
      </c>
      <c r="F21" s="625">
        <v>4294</v>
      </c>
      <c r="G21" s="624">
        <v>9664</v>
      </c>
      <c r="H21" s="624">
        <f t="shared" si="6"/>
        <v>4585</v>
      </c>
      <c r="I21" s="625">
        <v>5079</v>
      </c>
      <c r="J21" s="624">
        <v>10132</v>
      </c>
      <c r="K21" s="624">
        <f t="shared" si="7"/>
        <v>4729</v>
      </c>
      <c r="L21" s="625">
        <v>5403</v>
      </c>
      <c r="M21" s="624">
        <v>10693</v>
      </c>
      <c r="N21" s="624">
        <f t="shared" si="8"/>
        <v>4858</v>
      </c>
      <c r="O21" s="625">
        <v>5835</v>
      </c>
    </row>
    <row r="22" spans="1:15" ht="26.25" customHeight="1">
      <c r="A22" s="629" t="s">
        <v>5</v>
      </c>
      <c r="B22" s="636"/>
      <c r="C22" s="631"/>
      <c r="D22" s="637">
        <f aca="true" t="shared" si="10" ref="D22:O22">SUM(D15:D21)</f>
        <v>106805</v>
      </c>
      <c r="E22" s="633">
        <f t="shared" si="10"/>
        <v>51363</v>
      </c>
      <c r="F22" s="634">
        <f t="shared" si="10"/>
        <v>55442</v>
      </c>
      <c r="G22" s="632">
        <f aca="true" t="shared" si="11" ref="G22:L22">SUM(G15:G21)</f>
        <v>112981</v>
      </c>
      <c r="H22" s="632">
        <f t="shared" si="11"/>
        <v>54384</v>
      </c>
      <c r="I22" s="638">
        <f t="shared" si="11"/>
        <v>58597</v>
      </c>
      <c r="J22" s="632">
        <f t="shared" si="11"/>
        <v>112995</v>
      </c>
      <c r="K22" s="632">
        <f t="shared" si="11"/>
        <v>54265</v>
      </c>
      <c r="L22" s="638">
        <f t="shared" si="11"/>
        <v>58730</v>
      </c>
      <c r="M22" s="632">
        <f t="shared" si="10"/>
        <v>112572</v>
      </c>
      <c r="N22" s="632">
        <f t="shared" si="10"/>
        <v>53696</v>
      </c>
      <c r="O22" s="638">
        <f t="shared" si="10"/>
        <v>58876</v>
      </c>
    </row>
    <row r="23" spans="1:15" ht="26.25" customHeight="1">
      <c r="A23" s="1451" t="s">
        <v>49</v>
      </c>
      <c r="B23" s="1452"/>
      <c r="C23" s="1452"/>
      <c r="D23" s="1452"/>
      <c r="E23" s="1452"/>
      <c r="F23" s="1452"/>
      <c r="G23" s="1452"/>
      <c r="H23" s="1452"/>
      <c r="I23" s="1452"/>
      <c r="J23" s="1452"/>
      <c r="K23" s="1452"/>
      <c r="L23" s="1452"/>
      <c r="M23" s="1452"/>
      <c r="N23" s="1452"/>
      <c r="O23" s="1453"/>
    </row>
    <row r="24" spans="1:15" ht="26.25" customHeight="1">
      <c r="A24" s="616" t="s">
        <v>102</v>
      </c>
      <c r="B24" s="617" t="s">
        <v>154</v>
      </c>
      <c r="C24" s="618"/>
      <c r="D24" s="639">
        <f aca="true" t="shared" si="12" ref="D24:G30">D6-D15</f>
        <v>571</v>
      </c>
      <c r="E24" s="640">
        <f t="shared" si="12"/>
        <v>299</v>
      </c>
      <c r="F24" s="641">
        <f t="shared" si="12"/>
        <v>272</v>
      </c>
      <c r="G24" s="619">
        <f t="shared" si="12"/>
        <v>645</v>
      </c>
      <c r="H24" s="624">
        <f aca="true" t="shared" si="13" ref="H24:H30">G24-I24</f>
        <v>284</v>
      </c>
      <c r="I24" s="620">
        <f aca="true" t="shared" si="14" ref="I24:J30">I6-I15</f>
        <v>361</v>
      </c>
      <c r="J24" s="619">
        <f t="shared" si="14"/>
        <v>525</v>
      </c>
      <c r="K24" s="624">
        <f aca="true" t="shared" si="15" ref="K24:K30">J24-L24</f>
        <v>239</v>
      </c>
      <c r="L24" s="620">
        <f aca="true" t="shared" si="16" ref="L24:L30">L6-L15</f>
        <v>286</v>
      </c>
      <c r="M24" s="619">
        <f aca="true" t="shared" si="17" ref="M24:M30">M6-M15</f>
        <v>537</v>
      </c>
      <c r="N24" s="624">
        <f aca="true" t="shared" si="18" ref="N24:N30">M24-O24</f>
        <v>274</v>
      </c>
      <c r="O24" s="620">
        <f aca="true" t="shared" si="19" ref="O24:O30">O6-O15</f>
        <v>263</v>
      </c>
    </row>
    <row r="25" spans="1:15" ht="26.25" customHeight="1">
      <c r="A25" s="621"/>
      <c r="B25" s="622" t="s">
        <v>155</v>
      </c>
      <c r="C25" s="623"/>
      <c r="D25" s="642">
        <f t="shared" si="12"/>
        <v>633</v>
      </c>
      <c r="E25" s="635">
        <f t="shared" si="12"/>
        <v>277</v>
      </c>
      <c r="F25" s="643">
        <f t="shared" si="12"/>
        <v>356</v>
      </c>
      <c r="G25" s="624">
        <f t="shared" si="12"/>
        <v>698</v>
      </c>
      <c r="H25" s="624">
        <f t="shared" si="13"/>
        <v>346</v>
      </c>
      <c r="I25" s="625">
        <f t="shared" si="14"/>
        <v>352</v>
      </c>
      <c r="J25" s="624">
        <f t="shared" si="14"/>
        <v>653</v>
      </c>
      <c r="K25" s="624">
        <f t="shared" si="15"/>
        <v>280</v>
      </c>
      <c r="L25" s="625">
        <f t="shared" si="16"/>
        <v>373</v>
      </c>
      <c r="M25" s="624">
        <f t="shared" si="17"/>
        <v>569</v>
      </c>
      <c r="N25" s="624">
        <f t="shared" si="18"/>
        <v>256</v>
      </c>
      <c r="O25" s="625">
        <f t="shared" si="19"/>
        <v>313</v>
      </c>
    </row>
    <row r="26" spans="1:15" ht="26.25" customHeight="1">
      <c r="A26" s="621"/>
      <c r="B26" s="622" t="s">
        <v>89</v>
      </c>
      <c r="C26" s="623"/>
      <c r="D26" s="642">
        <f t="shared" si="12"/>
        <v>684</v>
      </c>
      <c r="E26" s="635">
        <f t="shared" si="12"/>
        <v>317</v>
      </c>
      <c r="F26" s="643">
        <f t="shared" si="12"/>
        <v>367</v>
      </c>
      <c r="G26" s="624">
        <f t="shared" si="12"/>
        <v>635</v>
      </c>
      <c r="H26" s="624">
        <f t="shared" si="13"/>
        <v>307</v>
      </c>
      <c r="I26" s="625">
        <f t="shared" si="14"/>
        <v>328</v>
      </c>
      <c r="J26" s="624">
        <f t="shared" si="14"/>
        <v>685</v>
      </c>
      <c r="K26" s="624">
        <f t="shared" si="15"/>
        <v>352</v>
      </c>
      <c r="L26" s="625">
        <f t="shared" si="16"/>
        <v>333</v>
      </c>
      <c r="M26" s="624">
        <f t="shared" si="17"/>
        <v>708</v>
      </c>
      <c r="N26" s="624">
        <f t="shared" si="18"/>
        <v>329</v>
      </c>
      <c r="O26" s="625">
        <f t="shared" si="19"/>
        <v>379</v>
      </c>
    </row>
    <row r="27" spans="1:15" ht="26.25" customHeight="1">
      <c r="A27" s="621"/>
      <c r="B27" s="622" t="s">
        <v>90</v>
      </c>
      <c r="C27" s="623"/>
      <c r="D27" s="642">
        <f t="shared" si="12"/>
        <v>612</v>
      </c>
      <c r="E27" s="635">
        <f t="shared" si="12"/>
        <v>282</v>
      </c>
      <c r="F27" s="643">
        <f t="shared" si="12"/>
        <v>330</v>
      </c>
      <c r="G27" s="624">
        <f t="shared" si="12"/>
        <v>660</v>
      </c>
      <c r="H27" s="624">
        <f t="shared" si="13"/>
        <v>286</v>
      </c>
      <c r="I27" s="625">
        <f t="shared" si="14"/>
        <v>374</v>
      </c>
      <c r="J27" s="624">
        <f t="shared" si="14"/>
        <v>589</v>
      </c>
      <c r="K27" s="624">
        <f t="shared" si="15"/>
        <v>266</v>
      </c>
      <c r="L27" s="625">
        <f t="shared" si="16"/>
        <v>323</v>
      </c>
      <c r="M27" s="624">
        <f t="shared" si="17"/>
        <v>678</v>
      </c>
      <c r="N27" s="624">
        <f t="shared" si="18"/>
        <v>332</v>
      </c>
      <c r="O27" s="625">
        <f t="shared" si="19"/>
        <v>346</v>
      </c>
    </row>
    <row r="28" spans="1:15" ht="26.25" customHeight="1">
      <c r="A28" s="621"/>
      <c r="B28" s="622" t="s">
        <v>156</v>
      </c>
      <c r="C28" s="623"/>
      <c r="D28" s="642">
        <f t="shared" si="12"/>
        <v>634</v>
      </c>
      <c r="E28" s="635">
        <f t="shared" si="12"/>
        <v>295</v>
      </c>
      <c r="F28" s="643">
        <f t="shared" si="12"/>
        <v>339</v>
      </c>
      <c r="G28" s="624">
        <f t="shared" si="12"/>
        <v>652</v>
      </c>
      <c r="H28" s="624">
        <f t="shared" si="13"/>
        <v>296</v>
      </c>
      <c r="I28" s="625">
        <f t="shared" si="14"/>
        <v>356</v>
      </c>
      <c r="J28" s="624">
        <f t="shared" si="14"/>
        <v>585</v>
      </c>
      <c r="K28" s="624">
        <f t="shared" si="15"/>
        <v>259</v>
      </c>
      <c r="L28" s="625">
        <f t="shared" si="16"/>
        <v>326</v>
      </c>
      <c r="M28" s="624">
        <f t="shared" si="17"/>
        <v>656</v>
      </c>
      <c r="N28" s="624">
        <f t="shared" si="18"/>
        <v>280</v>
      </c>
      <c r="O28" s="625">
        <f t="shared" si="19"/>
        <v>376</v>
      </c>
    </row>
    <row r="29" spans="1:15" ht="26.25" customHeight="1">
      <c r="A29" s="621"/>
      <c r="B29" s="622" t="s">
        <v>92</v>
      </c>
      <c r="C29" s="626" t="s">
        <v>157</v>
      </c>
      <c r="D29" s="642">
        <f t="shared" si="12"/>
        <v>172</v>
      </c>
      <c r="E29" s="635">
        <f t="shared" si="12"/>
        <v>74</v>
      </c>
      <c r="F29" s="643">
        <f t="shared" si="12"/>
        <v>98</v>
      </c>
      <c r="G29" s="624">
        <f t="shared" si="12"/>
        <v>206</v>
      </c>
      <c r="H29" s="624">
        <f t="shared" si="13"/>
        <v>94</v>
      </c>
      <c r="I29" s="625">
        <f t="shared" si="14"/>
        <v>112</v>
      </c>
      <c r="J29" s="624">
        <f t="shared" si="14"/>
        <v>221</v>
      </c>
      <c r="K29" s="624">
        <f t="shared" si="15"/>
        <v>96</v>
      </c>
      <c r="L29" s="625">
        <f t="shared" si="16"/>
        <v>125</v>
      </c>
      <c r="M29" s="624">
        <f t="shared" si="17"/>
        <v>230</v>
      </c>
      <c r="N29" s="624">
        <f t="shared" si="18"/>
        <v>101</v>
      </c>
      <c r="O29" s="625">
        <f t="shared" si="19"/>
        <v>129</v>
      </c>
    </row>
    <row r="30" spans="1:15" ht="26.25" customHeight="1">
      <c r="A30" s="627"/>
      <c r="B30" s="622" t="s">
        <v>158</v>
      </c>
      <c r="C30" s="626" t="s">
        <v>159</v>
      </c>
      <c r="D30" s="642">
        <f t="shared" si="12"/>
        <v>176</v>
      </c>
      <c r="E30" s="635">
        <f t="shared" si="12"/>
        <v>81</v>
      </c>
      <c r="F30" s="643">
        <f t="shared" si="12"/>
        <v>95</v>
      </c>
      <c r="G30" s="624">
        <f t="shared" si="12"/>
        <v>229</v>
      </c>
      <c r="H30" s="624">
        <f t="shared" si="13"/>
        <v>100</v>
      </c>
      <c r="I30" s="625">
        <f t="shared" si="14"/>
        <v>129</v>
      </c>
      <c r="J30" s="624">
        <f t="shared" si="14"/>
        <v>250</v>
      </c>
      <c r="K30" s="624">
        <f t="shared" si="15"/>
        <v>116</v>
      </c>
      <c r="L30" s="625">
        <f t="shared" si="16"/>
        <v>134</v>
      </c>
      <c r="M30" s="624">
        <f t="shared" si="17"/>
        <v>276</v>
      </c>
      <c r="N30" s="624">
        <f t="shared" si="18"/>
        <v>121</v>
      </c>
      <c r="O30" s="625">
        <f t="shared" si="19"/>
        <v>155</v>
      </c>
    </row>
    <row r="31" spans="1:15" ht="26.25" customHeight="1">
      <c r="A31" s="630" t="s">
        <v>5</v>
      </c>
      <c r="B31" s="644"/>
      <c r="C31" s="631"/>
      <c r="D31" s="637">
        <f>D13-D22</f>
        <v>3482</v>
      </c>
      <c r="E31" s="633">
        <f>E13-E22</f>
        <v>1625</v>
      </c>
      <c r="F31" s="634">
        <f>F13-F22</f>
        <v>1857</v>
      </c>
      <c r="G31" s="632">
        <f aca="true" t="shared" si="20" ref="G31:L31">SUM(G24:G30)</f>
        <v>3725</v>
      </c>
      <c r="H31" s="632">
        <f t="shared" si="20"/>
        <v>1713</v>
      </c>
      <c r="I31" s="638">
        <f t="shared" si="20"/>
        <v>2012</v>
      </c>
      <c r="J31" s="632">
        <f t="shared" si="20"/>
        <v>3508</v>
      </c>
      <c r="K31" s="632">
        <f t="shared" si="20"/>
        <v>1608</v>
      </c>
      <c r="L31" s="638">
        <f t="shared" si="20"/>
        <v>1900</v>
      </c>
      <c r="M31" s="632">
        <f>SUM(M24:M30)</f>
        <v>3654</v>
      </c>
      <c r="N31" s="632">
        <f>SUM(N24:N30)</f>
        <v>1693</v>
      </c>
      <c r="O31" s="638">
        <f>SUM(O24:O30)</f>
        <v>1961</v>
      </c>
    </row>
    <row r="32" spans="1:15" ht="12.75">
      <c r="A32" s="645"/>
      <c r="B32" s="645"/>
      <c r="C32" s="645"/>
      <c r="D32" s="645"/>
      <c r="E32" s="645"/>
      <c r="F32" s="645"/>
      <c r="G32" s="645"/>
      <c r="H32" s="645"/>
      <c r="I32" s="645"/>
      <c r="J32" s="645"/>
      <c r="K32" s="645"/>
      <c r="L32" s="645"/>
      <c r="M32" s="645"/>
      <c r="N32" s="645"/>
      <c r="O32" s="645"/>
    </row>
    <row r="33" spans="1:15" ht="12.75">
      <c r="A33" s="645"/>
      <c r="B33" s="646"/>
      <c r="C33" s="645"/>
      <c r="D33" s="645"/>
      <c r="E33" s="645"/>
      <c r="F33" s="645"/>
      <c r="G33" s="645"/>
      <c r="H33" s="645"/>
      <c r="I33" s="645"/>
      <c r="J33" s="645"/>
      <c r="K33" s="645"/>
      <c r="L33" s="645"/>
      <c r="M33" s="645"/>
      <c r="N33" s="645"/>
      <c r="O33" s="645"/>
    </row>
    <row r="34" spans="1:15" ht="12.75">
      <c r="A34" s="645"/>
      <c r="B34" s="645"/>
      <c r="C34" s="645"/>
      <c r="D34" s="645"/>
      <c r="E34" s="645"/>
      <c r="F34" s="645"/>
      <c r="G34" s="645"/>
      <c r="H34" s="645"/>
      <c r="I34" s="645"/>
      <c r="J34" s="645"/>
      <c r="K34" s="645"/>
      <c r="L34" s="645"/>
      <c r="M34" s="645"/>
      <c r="N34" s="645"/>
      <c r="O34" s="645"/>
    </row>
  </sheetData>
  <sheetProtection/>
  <mergeCells count="7">
    <mergeCell ref="A23:O23"/>
    <mergeCell ref="A3:C4"/>
    <mergeCell ref="A5:O5"/>
    <mergeCell ref="A14:O14"/>
    <mergeCell ref="M3:O3"/>
    <mergeCell ref="J3:L3"/>
    <mergeCell ref="G3:I3"/>
  </mergeCells>
  <printOptions/>
  <pageMargins left="0.75" right="0.32" top="0.75" bottom="0.24" header="0.5" footer="0.17"/>
  <pageSetup horizontalDpi="300" verticalDpi="300" orientation="portrait" paperSize="9" r:id="rId1"/>
  <headerFooter alignWithMargins="0">
    <oddHeader>&amp;C&amp;"Times New Roman,Regular"- 22 -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pane xSplit="3" ySplit="6" topLeftCell="G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Q9" sqref="Q9"/>
    </sheetView>
  </sheetViews>
  <sheetFormatPr defaultColWidth="9.140625" defaultRowHeight="12.75"/>
  <cols>
    <col min="1" max="1" width="2.7109375" style="648" customWidth="1"/>
    <col min="2" max="2" width="3.8515625" style="648" customWidth="1"/>
    <col min="3" max="3" width="7.140625" style="648" customWidth="1"/>
    <col min="4" max="6" width="7.140625" style="648" hidden="1" customWidth="1"/>
    <col min="7" max="11" width="8.57421875" style="648" customWidth="1"/>
    <col min="12" max="12" width="9.140625" style="648" customWidth="1"/>
    <col min="13" max="14" width="8.57421875" style="648" customWidth="1"/>
    <col min="15" max="16384" width="9.140625" style="648" customWidth="1"/>
  </cols>
  <sheetData>
    <row r="1" ht="18.75" customHeight="1">
      <c r="A1" s="647" t="s">
        <v>335</v>
      </c>
    </row>
    <row r="2" ht="18.75" customHeight="1">
      <c r="A2" s="1221" t="s">
        <v>425</v>
      </c>
    </row>
    <row r="3" spans="1:24" ht="18.75" customHeight="1">
      <c r="A3" s="1222" t="s">
        <v>105</v>
      </c>
      <c r="B3" s="1222"/>
      <c r="C3" s="1222"/>
      <c r="D3" s="1222"/>
      <c r="E3" s="1222"/>
      <c r="F3" s="1222"/>
      <c r="G3" s="1222"/>
      <c r="H3" s="1222"/>
      <c r="Q3" s="1463"/>
      <c r="R3" s="1463"/>
      <c r="S3" s="1463"/>
      <c r="T3" s="1463"/>
      <c r="U3" s="1463"/>
      <c r="V3" s="1463"/>
      <c r="W3" s="1463"/>
      <c r="X3" s="1463"/>
    </row>
    <row r="4" ht="9.75" customHeight="1"/>
    <row r="5" spans="1:15" ht="21" customHeight="1">
      <c r="A5" s="1464" t="s">
        <v>101</v>
      </c>
      <c r="B5" s="1465"/>
      <c r="C5" s="1466"/>
      <c r="D5" s="649">
        <v>2005</v>
      </c>
      <c r="E5" s="649"/>
      <c r="F5" s="650"/>
      <c r="G5" s="1473">
        <v>2007</v>
      </c>
      <c r="H5" s="1474"/>
      <c r="I5" s="1475"/>
      <c r="J5" s="1473">
        <v>2008</v>
      </c>
      <c r="K5" s="1474"/>
      <c r="L5" s="1475"/>
      <c r="M5" s="1473">
        <v>2009</v>
      </c>
      <c r="N5" s="1474"/>
      <c r="O5" s="1475"/>
    </row>
    <row r="6" spans="1:15" ht="21" customHeight="1">
      <c r="A6" s="1467"/>
      <c r="B6" s="1468"/>
      <c r="C6" s="1469"/>
      <c r="D6" s="651" t="s">
        <v>5</v>
      </c>
      <c r="E6" s="652" t="s">
        <v>43</v>
      </c>
      <c r="F6" s="653" t="s">
        <v>44</v>
      </c>
      <c r="G6" s="651" t="s">
        <v>5</v>
      </c>
      <c r="H6" s="652" t="s">
        <v>43</v>
      </c>
      <c r="I6" s="653" t="s">
        <v>44</v>
      </c>
      <c r="J6" s="651" t="s">
        <v>5</v>
      </c>
      <c r="K6" s="652" t="s">
        <v>43</v>
      </c>
      <c r="L6" s="653" t="s">
        <v>44</v>
      </c>
      <c r="M6" s="651" t="s">
        <v>5</v>
      </c>
      <c r="N6" s="652" t="s">
        <v>43</v>
      </c>
      <c r="O6" s="653" t="s">
        <v>44</v>
      </c>
    </row>
    <row r="7" spans="1:15" ht="23.25" customHeight="1">
      <c r="A7" s="1470" t="s">
        <v>160</v>
      </c>
      <c r="B7" s="1471"/>
      <c r="C7" s="1471"/>
      <c r="D7" s="1471"/>
      <c r="E7" s="1471"/>
      <c r="F7" s="1471"/>
      <c r="G7" s="1471"/>
      <c r="H7" s="1471"/>
      <c r="I7" s="1471"/>
      <c r="J7" s="1471"/>
      <c r="K7" s="1471"/>
      <c r="L7" s="1471"/>
      <c r="M7" s="1471"/>
      <c r="N7" s="1471"/>
      <c r="O7" s="1472"/>
    </row>
    <row r="8" spans="1:15" ht="25.5" customHeight="1">
      <c r="A8" s="654" t="s">
        <v>102</v>
      </c>
      <c r="B8" s="655" t="s">
        <v>154</v>
      </c>
      <c r="C8" s="656"/>
      <c r="D8" s="657">
        <f aca="true" t="shared" si="0" ref="D8:D15">SUM(E8:F8)</f>
        <v>17986</v>
      </c>
      <c r="E8" s="658">
        <v>8686</v>
      </c>
      <c r="F8" s="659">
        <v>9300</v>
      </c>
      <c r="G8" s="657">
        <f aca="true" t="shared" si="1" ref="G8:G13">SUM(H8:I8)</f>
        <v>18328</v>
      </c>
      <c r="H8" s="658">
        <v>8806</v>
      </c>
      <c r="I8" s="660">
        <v>9522</v>
      </c>
      <c r="J8" s="657">
        <f aca="true" t="shared" si="2" ref="J8:J13">SUM(K8:L8)</f>
        <v>17028</v>
      </c>
      <c r="K8" s="658">
        <v>8169</v>
      </c>
      <c r="L8" s="660">
        <v>8859</v>
      </c>
      <c r="M8" s="657">
        <f aca="true" t="shared" si="3" ref="M8:M13">SUM(N8:O8)</f>
        <v>16809</v>
      </c>
      <c r="N8" s="658">
        <v>8197</v>
      </c>
      <c r="O8" s="660">
        <v>8612</v>
      </c>
    </row>
    <row r="9" spans="1:15" ht="25.5" customHeight="1">
      <c r="A9" s="661"/>
      <c r="B9" s="662" t="s">
        <v>161</v>
      </c>
      <c r="C9" s="663"/>
      <c r="D9" s="657">
        <f t="shared" si="0"/>
        <v>18554</v>
      </c>
      <c r="E9" s="664">
        <v>8873</v>
      </c>
      <c r="F9" s="665">
        <v>9681</v>
      </c>
      <c r="G9" s="657">
        <f t="shared" si="1"/>
        <v>18759</v>
      </c>
      <c r="H9" s="664">
        <v>9074</v>
      </c>
      <c r="I9" s="666">
        <v>9685</v>
      </c>
      <c r="J9" s="657">
        <f t="shared" si="2"/>
        <v>18269</v>
      </c>
      <c r="K9" s="664">
        <v>8740</v>
      </c>
      <c r="L9" s="666">
        <v>9529</v>
      </c>
      <c r="M9" s="657">
        <f t="shared" si="3"/>
        <v>17246</v>
      </c>
      <c r="N9" s="664">
        <v>8210</v>
      </c>
      <c r="O9" s="666">
        <v>9036</v>
      </c>
    </row>
    <row r="10" spans="1:15" ht="25.5" customHeight="1">
      <c r="A10" s="661"/>
      <c r="B10" s="662" t="s">
        <v>162</v>
      </c>
      <c r="C10" s="663"/>
      <c r="D10" s="657">
        <f t="shared" si="0"/>
        <v>18993</v>
      </c>
      <c r="E10" s="657">
        <v>9206</v>
      </c>
      <c r="F10" s="665">
        <v>9787</v>
      </c>
      <c r="G10" s="657">
        <f t="shared" si="1"/>
        <v>18372</v>
      </c>
      <c r="H10" s="657">
        <v>8959</v>
      </c>
      <c r="I10" s="666">
        <v>9413</v>
      </c>
      <c r="J10" s="657">
        <f t="shared" si="2"/>
        <v>18792</v>
      </c>
      <c r="K10" s="657">
        <v>9092</v>
      </c>
      <c r="L10" s="666">
        <v>9700</v>
      </c>
      <c r="M10" s="657">
        <f t="shared" si="3"/>
        <v>18632</v>
      </c>
      <c r="N10" s="657">
        <v>8980</v>
      </c>
      <c r="O10" s="666">
        <v>9652</v>
      </c>
    </row>
    <row r="11" spans="1:15" ht="25.5" customHeight="1">
      <c r="A11" s="661"/>
      <c r="B11" s="662" t="s">
        <v>163</v>
      </c>
      <c r="C11" s="663"/>
      <c r="D11" s="657">
        <f t="shared" si="0"/>
        <v>18851</v>
      </c>
      <c r="E11" s="657">
        <v>9089</v>
      </c>
      <c r="F11" s="665">
        <v>9762</v>
      </c>
      <c r="G11" s="657">
        <f t="shared" si="1"/>
        <v>20192</v>
      </c>
      <c r="H11" s="657">
        <v>9655</v>
      </c>
      <c r="I11" s="666">
        <v>10537</v>
      </c>
      <c r="J11" s="657">
        <f t="shared" si="2"/>
        <v>19932</v>
      </c>
      <c r="K11" s="657">
        <v>9794</v>
      </c>
      <c r="L11" s="666">
        <v>10138</v>
      </c>
      <c r="M11" s="657">
        <f t="shared" si="3"/>
        <v>20355</v>
      </c>
      <c r="N11" s="657">
        <v>9968</v>
      </c>
      <c r="O11" s="666">
        <v>10387</v>
      </c>
    </row>
    <row r="12" spans="1:15" ht="25.5" customHeight="1">
      <c r="A12" s="661"/>
      <c r="B12" s="662" t="s">
        <v>164</v>
      </c>
      <c r="C12" s="663"/>
      <c r="D12" s="657">
        <f t="shared" si="0"/>
        <v>18725</v>
      </c>
      <c r="E12" s="657">
        <v>9068</v>
      </c>
      <c r="F12" s="665">
        <v>9657</v>
      </c>
      <c r="G12" s="657">
        <f t="shared" si="1"/>
        <v>20996</v>
      </c>
      <c r="H12" s="657">
        <v>10209</v>
      </c>
      <c r="I12" s="666">
        <v>10787</v>
      </c>
      <c r="J12" s="657">
        <f t="shared" si="2"/>
        <v>21267</v>
      </c>
      <c r="K12" s="657">
        <v>10386</v>
      </c>
      <c r="L12" s="666">
        <v>10881</v>
      </c>
      <c r="M12" s="657">
        <f t="shared" si="3"/>
        <v>21080</v>
      </c>
      <c r="N12" s="657">
        <v>10151</v>
      </c>
      <c r="O12" s="666">
        <v>10929</v>
      </c>
    </row>
    <row r="13" spans="1:15" ht="25.5" customHeight="1">
      <c r="A13" s="661"/>
      <c r="B13" s="662" t="s">
        <v>165</v>
      </c>
      <c r="C13" s="667" t="s">
        <v>157</v>
      </c>
      <c r="D13" s="657">
        <f t="shared" si="0"/>
        <v>8795</v>
      </c>
      <c r="E13" s="657">
        <v>4072</v>
      </c>
      <c r="F13" s="665">
        <v>4723</v>
      </c>
      <c r="G13" s="657">
        <f t="shared" si="1"/>
        <v>10166</v>
      </c>
      <c r="H13" s="657">
        <v>4709</v>
      </c>
      <c r="I13" s="666">
        <v>5457</v>
      </c>
      <c r="J13" s="657">
        <f t="shared" si="2"/>
        <v>10833</v>
      </c>
      <c r="K13" s="657">
        <v>4847</v>
      </c>
      <c r="L13" s="666">
        <v>5986</v>
      </c>
      <c r="M13" s="657">
        <f t="shared" si="3"/>
        <v>11135</v>
      </c>
      <c r="N13" s="657">
        <v>4904</v>
      </c>
      <c r="O13" s="666">
        <v>6231</v>
      </c>
    </row>
    <row r="14" spans="1:15" ht="25.5" customHeight="1">
      <c r="A14" s="661"/>
      <c r="B14" s="662" t="s">
        <v>165</v>
      </c>
      <c r="C14" s="667" t="s">
        <v>159</v>
      </c>
      <c r="D14" s="657">
        <f t="shared" si="0"/>
        <v>8383</v>
      </c>
      <c r="E14" s="657">
        <v>3994</v>
      </c>
      <c r="F14" s="665">
        <v>4389</v>
      </c>
      <c r="G14" s="657">
        <f>SUM(H14:I14)</f>
        <v>9893</v>
      </c>
      <c r="H14" s="657">
        <v>4685</v>
      </c>
      <c r="I14" s="666">
        <v>5208</v>
      </c>
      <c r="J14" s="657">
        <f>SUM(K14:L14)</f>
        <v>10382</v>
      </c>
      <c r="K14" s="657">
        <v>4845</v>
      </c>
      <c r="L14" s="666">
        <v>5537</v>
      </c>
      <c r="M14" s="657">
        <f>SUM(N14:O14)</f>
        <v>10969</v>
      </c>
      <c r="N14" s="657">
        <v>4979</v>
      </c>
      <c r="O14" s="666">
        <v>5990</v>
      </c>
    </row>
    <row r="15" spans="1:15" ht="25.5" customHeight="1">
      <c r="A15" s="668"/>
      <c r="B15" s="669" t="s">
        <v>166</v>
      </c>
      <c r="C15" s="670"/>
      <c r="D15" s="671">
        <f t="shared" si="0"/>
        <v>110287</v>
      </c>
      <c r="E15" s="671">
        <f>SUM(E8:E14)</f>
        <v>52988</v>
      </c>
      <c r="F15" s="672">
        <f>SUM(F8:F14)</f>
        <v>57299</v>
      </c>
      <c r="G15" s="671">
        <f>SUM(H15:I15)</f>
        <v>116706</v>
      </c>
      <c r="H15" s="671">
        <f>SUM(H8:H14)</f>
        <v>56097</v>
      </c>
      <c r="I15" s="673">
        <f>SUM(I8:I14)</f>
        <v>60609</v>
      </c>
      <c r="J15" s="671">
        <f>SUM(K15:L15)</f>
        <v>116503</v>
      </c>
      <c r="K15" s="671">
        <f>SUM(K8:K14)</f>
        <v>55873</v>
      </c>
      <c r="L15" s="673">
        <f>SUM(L8:L14)</f>
        <v>60630</v>
      </c>
      <c r="M15" s="671">
        <f>SUM(N15:O15)</f>
        <v>116226</v>
      </c>
      <c r="N15" s="671">
        <f>SUM(N8:N14)</f>
        <v>55389</v>
      </c>
      <c r="O15" s="673">
        <f>SUM(O8:O14)</f>
        <v>60837</v>
      </c>
    </row>
    <row r="16" spans="1:15" ht="23.25" customHeight="1">
      <c r="A16" s="1470" t="s">
        <v>167</v>
      </c>
      <c r="B16" s="1471"/>
      <c r="C16" s="1471"/>
      <c r="D16" s="1471"/>
      <c r="E16" s="1471"/>
      <c r="F16" s="1471"/>
      <c r="G16" s="1471"/>
      <c r="H16" s="1471"/>
      <c r="I16" s="1471"/>
      <c r="J16" s="1471"/>
      <c r="K16" s="1471"/>
      <c r="L16" s="1471"/>
      <c r="M16" s="1471"/>
      <c r="N16" s="1471"/>
      <c r="O16" s="1472"/>
    </row>
    <row r="17" spans="1:15" ht="25.5" customHeight="1">
      <c r="A17" s="654" t="s">
        <v>102</v>
      </c>
      <c r="B17" s="655" t="s">
        <v>154</v>
      </c>
      <c r="C17" s="656"/>
      <c r="D17" s="674">
        <f>SUM(E17:F17)</f>
        <v>7159</v>
      </c>
      <c r="E17" s="658">
        <v>3550</v>
      </c>
      <c r="F17" s="659">
        <v>3609</v>
      </c>
      <c r="G17" s="674">
        <f>SUM(H17:I17)</f>
        <v>7487</v>
      </c>
      <c r="H17" s="658">
        <v>3581</v>
      </c>
      <c r="I17" s="659">
        <v>3906</v>
      </c>
      <c r="J17" s="674">
        <f>SUM(K17:L17)</f>
        <v>7221</v>
      </c>
      <c r="K17" s="658">
        <v>3587</v>
      </c>
      <c r="L17" s="659">
        <v>3634</v>
      </c>
      <c r="M17" s="674">
        <f>SUM(N17:O17)</f>
        <v>7535</v>
      </c>
      <c r="N17" s="658">
        <v>3775</v>
      </c>
      <c r="O17" s="659">
        <v>3760</v>
      </c>
    </row>
    <row r="18" spans="1:15" ht="25.5" customHeight="1">
      <c r="A18" s="661"/>
      <c r="B18" s="662" t="s">
        <v>161</v>
      </c>
      <c r="C18" s="663"/>
      <c r="D18" s="675">
        <f aca="true" t="shared" si="4" ref="D18:D23">SUM(E18:F18)</f>
        <v>7382</v>
      </c>
      <c r="E18" s="657">
        <v>3587</v>
      </c>
      <c r="F18" s="665">
        <v>3795</v>
      </c>
      <c r="G18" s="675">
        <f aca="true" t="shared" si="5" ref="G18:G24">SUM(H18:I18)</f>
        <v>7345</v>
      </c>
      <c r="H18" s="657">
        <v>3602</v>
      </c>
      <c r="I18" s="665">
        <v>3743</v>
      </c>
      <c r="J18" s="675">
        <f aca="true" t="shared" si="6" ref="J18:J24">SUM(K18:L18)</f>
        <v>7391</v>
      </c>
      <c r="K18" s="657">
        <v>3502</v>
      </c>
      <c r="L18" s="665">
        <v>3889</v>
      </c>
      <c r="M18" s="675">
        <f aca="true" t="shared" si="7" ref="M18:M24">SUM(N18:O18)</f>
        <v>7190</v>
      </c>
      <c r="N18" s="657">
        <v>3547</v>
      </c>
      <c r="O18" s="665">
        <v>3643</v>
      </c>
    </row>
    <row r="19" spans="1:15" ht="25.5" customHeight="1">
      <c r="A19" s="661"/>
      <c r="B19" s="662" t="s">
        <v>162</v>
      </c>
      <c r="C19" s="663"/>
      <c r="D19" s="675">
        <f t="shared" si="4"/>
        <v>6546</v>
      </c>
      <c r="E19" s="657">
        <v>3187</v>
      </c>
      <c r="F19" s="665">
        <v>3359</v>
      </c>
      <c r="G19" s="675">
        <f t="shared" si="5"/>
        <v>7197</v>
      </c>
      <c r="H19" s="657">
        <v>3556</v>
      </c>
      <c r="I19" s="665">
        <v>3641</v>
      </c>
      <c r="J19" s="675">
        <f t="shared" si="6"/>
        <v>7390</v>
      </c>
      <c r="K19" s="657">
        <v>3642</v>
      </c>
      <c r="L19" s="665">
        <v>3748</v>
      </c>
      <c r="M19" s="675">
        <f t="shared" si="7"/>
        <v>7442</v>
      </c>
      <c r="N19" s="657">
        <v>3532</v>
      </c>
      <c r="O19" s="665">
        <v>3910</v>
      </c>
    </row>
    <row r="20" spans="1:15" ht="25.5" customHeight="1">
      <c r="A20" s="661"/>
      <c r="B20" s="662" t="s">
        <v>163</v>
      </c>
      <c r="C20" s="663"/>
      <c r="D20" s="675">
        <f t="shared" si="4"/>
        <v>4402</v>
      </c>
      <c r="E20" s="657">
        <v>2147</v>
      </c>
      <c r="F20" s="665">
        <v>2255</v>
      </c>
      <c r="G20" s="675">
        <f t="shared" si="5"/>
        <v>7518</v>
      </c>
      <c r="H20" s="657">
        <v>3590</v>
      </c>
      <c r="I20" s="665">
        <v>3928</v>
      </c>
      <c r="J20" s="675">
        <f t="shared" si="6"/>
        <v>7600</v>
      </c>
      <c r="K20" s="657">
        <v>3844</v>
      </c>
      <c r="L20" s="665">
        <v>3756</v>
      </c>
      <c r="M20" s="675">
        <f t="shared" si="7"/>
        <v>7610</v>
      </c>
      <c r="N20" s="657">
        <v>3773</v>
      </c>
      <c r="O20" s="665">
        <v>3837</v>
      </c>
    </row>
    <row r="21" spans="1:15" ht="25.5" customHeight="1">
      <c r="A21" s="661"/>
      <c r="B21" s="662" t="s">
        <v>164</v>
      </c>
      <c r="C21" s="663"/>
      <c r="D21" s="675">
        <f t="shared" si="4"/>
        <v>4514</v>
      </c>
      <c r="E21" s="657">
        <v>2243</v>
      </c>
      <c r="F21" s="665">
        <v>2271</v>
      </c>
      <c r="G21" s="675">
        <f t="shared" si="5"/>
        <v>7000</v>
      </c>
      <c r="H21" s="657">
        <v>3380</v>
      </c>
      <c r="I21" s="665">
        <v>3620</v>
      </c>
      <c r="J21" s="675">
        <f t="shared" si="6"/>
        <v>8444</v>
      </c>
      <c r="K21" s="657">
        <v>4065</v>
      </c>
      <c r="L21" s="665">
        <v>4379</v>
      </c>
      <c r="M21" s="675">
        <f t="shared" si="7"/>
        <v>8370</v>
      </c>
      <c r="N21" s="657">
        <v>4055</v>
      </c>
      <c r="O21" s="665">
        <v>4315</v>
      </c>
    </row>
    <row r="22" spans="1:15" ht="25.5" customHeight="1">
      <c r="A22" s="661"/>
      <c r="B22" s="662" t="s">
        <v>165</v>
      </c>
      <c r="C22" s="667" t="s">
        <v>157</v>
      </c>
      <c r="D22" s="675">
        <f t="shared" si="4"/>
        <v>3460</v>
      </c>
      <c r="E22" s="657">
        <v>1687</v>
      </c>
      <c r="F22" s="665">
        <v>1773</v>
      </c>
      <c r="G22" s="675">
        <f t="shared" si="5"/>
        <v>3721</v>
      </c>
      <c r="H22" s="657">
        <v>1702</v>
      </c>
      <c r="I22" s="665">
        <v>2019</v>
      </c>
      <c r="J22" s="675">
        <f t="shared" si="6"/>
        <v>4649</v>
      </c>
      <c r="K22" s="657">
        <v>1959</v>
      </c>
      <c r="L22" s="665">
        <v>2690</v>
      </c>
      <c r="M22" s="675">
        <f t="shared" si="7"/>
        <v>5438</v>
      </c>
      <c r="N22" s="657">
        <v>2169</v>
      </c>
      <c r="O22" s="665">
        <v>3269</v>
      </c>
    </row>
    <row r="23" spans="1:15" ht="25.5" customHeight="1">
      <c r="A23" s="661"/>
      <c r="B23" s="662" t="s">
        <v>165</v>
      </c>
      <c r="C23" s="667" t="s">
        <v>159</v>
      </c>
      <c r="D23" s="675">
        <f t="shared" si="4"/>
        <v>3742</v>
      </c>
      <c r="E23" s="657">
        <v>1874</v>
      </c>
      <c r="F23" s="665">
        <v>1868</v>
      </c>
      <c r="G23" s="675">
        <f t="shared" si="5"/>
        <v>4168</v>
      </c>
      <c r="H23" s="657">
        <v>2030</v>
      </c>
      <c r="I23" s="665">
        <v>2138</v>
      </c>
      <c r="J23" s="675">
        <f t="shared" si="6"/>
        <v>4345</v>
      </c>
      <c r="K23" s="657">
        <v>2008</v>
      </c>
      <c r="L23" s="665">
        <v>2337</v>
      </c>
      <c r="M23" s="675">
        <f t="shared" si="7"/>
        <v>4976</v>
      </c>
      <c r="N23" s="657">
        <v>2127</v>
      </c>
      <c r="O23" s="665">
        <v>2849</v>
      </c>
    </row>
    <row r="24" spans="1:15" ht="25.5" customHeight="1">
      <c r="A24" s="668"/>
      <c r="B24" s="669" t="s">
        <v>166</v>
      </c>
      <c r="C24" s="670"/>
      <c r="D24" s="671">
        <f>SUM(E24:F24)</f>
        <v>37205</v>
      </c>
      <c r="E24" s="671">
        <f>SUM(E17:E23)</f>
        <v>18275</v>
      </c>
      <c r="F24" s="672">
        <f>SUM(F17:F23)</f>
        <v>18930</v>
      </c>
      <c r="G24" s="671">
        <f t="shared" si="5"/>
        <v>44436</v>
      </c>
      <c r="H24" s="671">
        <f>SUM(H17:H23)</f>
        <v>21441</v>
      </c>
      <c r="I24" s="672">
        <f>SUM(I17:I23)</f>
        <v>22995</v>
      </c>
      <c r="J24" s="671">
        <f t="shared" si="6"/>
        <v>47040</v>
      </c>
      <c r="K24" s="671">
        <f>SUM(K17:K23)</f>
        <v>22607</v>
      </c>
      <c r="L24" s="672">
        <f>SUM(L17:L23)</f>
        <v>24433</v>
      </c>
      <c r="M24" s="671">
        <f t="shared" si="7"/>
        <v>48561</v>
      </c>
      <c r="N24" s="671">
        <f>SUM(N17:N23)</f>
        <v>22978</v>
      </c>
      <c r="O24" s="672">
        <f>SUM(O17:O23)</f>
        <v>25583</v>
      </c>
    </row>
    <row r="25" spans="1:15" ht="23.25" customHeight="1">
      <c r="A25" s="1470" t="s">
        <v>168</v>
      </c>
      <c r="B25" s="1471"/>
      <c r="C25" s="1471"/>
      <c r="D25" s="1471"/>
      <c r="E25" s="1471"/>
      <c r="F25" s="1471"/>
      <c r="G25" s="1471"/>
      <c r="H25" s="1471"/>
      <c r="I25" s="1471"/>
      <c r="J25" s="1471"/>
      <c r="K25" s="1471"/>
      <c r="L25" s="1471"/>
      <c r="M25" s="1471"/>
      <c r="N25" s="1471"/>
      <c r="O25" s="1472"/>
    </row>
    <row r="26" spans="1:15" ht="25.5" customHeight="1">
      <c r="A26" s="654" t="s">
        <v>102</v>
      </c>
      <c r="B26" s="655" t="s">
        <v>154</v>
      </c>
      <c r="C26" s="656"/>
      <c r="D26" s="658">
        <f aca="true" t="shared" si="8" ref="D26:D32">SUM(E26:F26)</f>
        <v>10827</v>
      </c>
      <c r="E26" s="676">
        <f aca="true" t="shared" si="9" ref="E26:F32">E8-E17</f>
        <v>5136</v>
      </c>
      <c r="F26" s="660">
        <f t="shared" si="9"/>
        <v>5691</v>
      </c>
      <c r="G26" s="658">
        <f aca="true" t="shared" si="10" ref="G26:G32">SUM(H26:I26)</f>
        <v>10841</v>
      </c>
      <c r="H26" s="676">
        <f aca="true" t="shared" si="11" ref="H26:I32">H8-H17</f>
        <v>5225</v>
      </c>
      <c r="I26" s="660">
        <f t="shared" si="11"/>
        <v>5616</v>
      </c>
      <c r="J26" s="658">
        <f aca="true" t="shared" si="12" ref="J26:J32">SUM(K26:L26)</f>
        <v>9807</v>
      </c>
      <c r="K26" s="676">
        <f aca="true" t="shared" si="13" ref="K26:L32">K8-K17</f>
        <v>4582</v>
      </c>
      <c r="L26" s="660">
        <f t="shared" si="13"/>
        <v>5225</v>
      </c>
      <c r="M26" s="658">
        <f aca="true" t="shared" si="14" ref="M26:M32">SUM(N26:O26)</f>
        <v>9274</v>
      </c>
      <c r="N26" s="676">
        <f>N8-N17</f>
        <v>4422</v>
      </c>
      <c r="O26" s="660">
        <f>O8-O17</f>
        <v>4852</v>
      </c>
    </row>
    <row r="27" spans="1:15" ht="25.5" customHeight="1">
      <c r="A27" s="661"/>
      <c r="B27" s="662" t="s">
        <v>161</v>
      </c>
      <c r="C27" s="663"/>
      <c r="D27" s="677">
        <f t="shared" si="8"/>
        <v>11172</v>
      </c>
      <c r="E27" s="664">
        <f t="shared" si="9"/>
        <v>5286</v>
      </c>
      <c r="F27" s="666">
        <f t="shared" si="9"/>
        <v>5886</v>
      </c>
      <c r="G27" s="677">
        <f t="shared" si="10"/>
        <v>11414</v>
      </c>
      <c r="H27" s="664">
        <f t="shared" si="11"/>
        <v>5472</v>
      </c>
      <c r="I27" s="666">
        <f t="shared" si="11"/>
        <v>5942</v>
      </c>
      <c r="J27" s="677">
        <f t="shared" si="12"/>
        <v>10878</v>
      </c>
      <c r="K27" s="664">
        <f t="shared" si="13"/>
        <v>5238</v>
      </c>
      <c r="L27" s="666">
        <f t="shared" si="13"/>
        <v>5640</v>
      </c>
      <c r="M27" s="677">
        <f t="shared" si="14"/>
        <v>10056</v>
      </c>
      <c r="N27" s="664">
        <f aca="true" t="shared" si="15" ref="N27:O32">N9-N18</f>
        <v>4663</v>
      </c>
      <c r="O27" s="666">
        <f t="shared" si="15"/>
        <v>5393</v>
      </c>
    </row>
    <row r="28" spans="1:15" ht="25.5" customHeight="1">
      <c r="A28" s="661"/>
      <c r="B28" s="662" t="s">
        <v>162</v>
      </c>
      <c r="C28" s="663"/>
      <c r="D28" s="677">
        <f t="shared" si="8"/>
        <v>12447</v>
      </c>
      <c r="E28" s="664">
        <f t="shared" si="9"/>
        <v>6019</v>
      </c>
      <c r="F28" s="666">
        <f t="shared" si="9"/>
        <v>6428</v>
      </c>
      <c r="G28" s="677">
        <f t="shared" si="10"/>
        <v>11175</v>
      </c>
      <c r="H28" s="664">
        <f t="shared" si="11"/>
        <v>5403</v>
      </c>
      <c r="I28" s="666">
        <f t="shared" si="11"/>
        <v>5772</v>
      </c>
      <c r="J28" s="677">
        <f t="shared" si="12"/>
        <v>11402</v>
      </c>
      <c r="K28" s="664">
        <f t="shared" si="13"/>
        <v>5450</v>
      </c>
      <c r="L28" s="666">
        <f t="shared" si="13"/>
        <v>5952</v>
      </c>
      <c r="M28" s="677">
        <f t="shared" si="14"/>
        <v>11190</v>
      </c>
      <c r="N28" s="664">
        <f t="shared" si="15"/>
        <v>5448</v>
      </c>
      <c r="O28" s="666">
        <f t="shared" si="15"/>
        <v>5742</v>
      </c>
    </row>
    <row r="29" spans="1:15" ht="25.5" customHeight="1">
      <c r="A29" s="661"/>
      <c r="B29" s="662" t="s">
        <v>163</v>
      </c>
      <c r="C29" s="663"/>
      <c r="D29" s="677">
        <f t="shared" si="8"/>
        <v>14449</v>
      </c>
      <c r="E29" s="664">
        <f t="shared" si="9"/>
        <v>6942</v>
      </c>
      <c r="F29" s="666">
        <f t="shared" si="9"/>
        <v>7507</v>
      </c>
      <c r="G29" s="677">
        <f t="shared" si="10"/>
        <v>12674</v>
      </c>
      <c r="H29" s="664">
        <f t="shared" si="11"/>
        <v>6065</v>
      </c>
      <c r="I29" s="666">
        <f t="shared" si="11"/>
        <v>6609</v>
      </c>
      <c r="J29" s="677">
        <f t="shared" si="12"/>
        <v>12332</v>
      </c>
      <c r="K29" s="664">
        <f t="shared" si="13"/>
        <v>5950</v>
      </c>
      <c r="L29" s="666">
        <f t="shared" si="13"/>
        <v>6382</v>
      </c>
      <c r="M29" s="677">
        <f t="shared" si="14"/>
        <v>12745</v>
      </c>
      <c r="N29" s="664">
        <f t="shared" si="15"/>
        <v>6195</v>
      </c>
      <c r="O29" s="666">
        <f t="shared" si="15"/>
        <v>6550</v>
      </c>
    </row>
    <row r="30" spans="1:15" ht="25.5" customHeight="1">
      <c r="A30" s="661"/>
      <c r="B30" s="662" t="s">
        <v>164</v>
      </c>
      <c r="C30" s="663"/>
      <c r="D30" s="677">
        <f t="shared" si="8"/>
        <v>14211</v>
      </c>
      <c r="E30" s="664">
        <f t="shared" si="9"/>
        <v>6825</v>
      </c>
      <c r="F30" s="666">
        <f t="shared" si="9"/>
        <v>7386</v>
      </c>
      <c r="G30" s="677">
        <f t="shared" si="10"/>
        <v>13996</v>
      </c>
      <c r="H30" s="664">
        <f t="shared" si="11"/>
        <v>6829</v>
      </c>
      <c r="I30" s="666">
        <f t="shared" si="11"/>
        <v>7167</v>
      </c>
      <c r="J30" s="677">
        <f t="shared" si="12"/>
        <v>12823</v>
      </c>
      <c r="K30" s="664">
        <f t="shared" si="13"/>
        <v>6321</v>
      </c>
      <c r="L30" s="666">
        <f t="shared" si="13"/>
        <v>6502</v>
      </c>
      <c r="M30" s="677">
        <f t="shared" si="14"/>
        <v>12710</v>
      </c>
      <c r="N30" s="664">
        <f t="shared" si="15"/>
        <v>6096</v>
      </c>
      <c r="O30" s="666">
        <f t="shared" si="15"/>
        <v>6614</v>
      </c>
    </row>
    <row r="31" spans="1:15" ht="25.5" customHeight="1">
      <c r="A31" s="661"/>
      <c r="B31" s="662" t="s">
        <v>165</v>
      </c>
      <c r="C31" s="667" t="s">
        <v>157</v>
      </c>
      <c r="D31" s="677">
        <f t="shared" si="8"/>
        <v>5335</v>
      </c>
      <c r="E31" s="664">
        <f t="shared" si="9"/>
        <v>2385</v>
      </c>
      <c r="F31" s="666">
        <f t="shared" si="9"/>
        <v>2950</v>
      </c>
      <c r="G31" s="677">
        <f t="shared" si="10"/>
        <v>6445</v>
      </c>
      <c r="H31" s="664">
        <f t="shared" si="11"/>
        <v>3007</v>
      </c>
      <c r="I31" s="666">
        <f t="shared" si="11"/>
        <v>3438</v>
      </c>
      <c r="J31" s="677">
        <f t="shared" si="12"/>
        <v>6184</v>
      </c>
      <c r="K31" s="664">
        <f t="shared" si="13"/>
        <v>2888</v>
      </c>
      <c r="L31" s="666">
        <f t="shared" si="13"/>
        <v>3296</v>
      </c>
      <c r="M31" s="677">
        <f t="shared" si="14"/>
        <v>5697</v>
      </c>
      <c r="N31" s="664">
        <f t="shared" si="15"/>
        <v>2735</v>
      </c>
      <c r="O31" s="666">
        <f t="shared" si="15"/>
        <v>2962</v>
      </c>
    </row>
    <row r="32" spans="1:15" ht="25.5" customHeight="1">
      <c r="A32" s="661"/>
      <c r="B32" s="662" t="s">
        <v>165</v>
      </c>
      <c r="C32" s="667" t="s">
        <v>159</v>
      </c>
      <c r="D32" s="677">
        <f t="shared" si="8"/>
        <v>4641</v>
      </c>
      <c r="E32" s="657">
        <f t="shared" si="9"/>
        <v>2120</v>
      </c>
      <c r="F32" s="666">
        <f t="shared" si="9"/>
        <v>2521</v>
      </c>
      <c r="G32" s="677">
        <f t="shared" si="10"/>
        <v>5725</v>
      </c>
      <c r="H32" s="657">
        <f t="shared" si="11"/>
        <v>2655</v>
      </c>
      <c r="I32" s="666">
        <f t="shared" si="11"/>
        <v>3070</v>
      </c>
      <c r="J32" s="677">
        <f t="shared" si="12"/>
        <v>6037</v>
      </c>
      <c r="K32" s="657">
        <f t="shared" si="13"/>
        <v>2837</v>
      </c>
      <c r="L32" s="666">
        <f t="shared" si="13"/>
        <v>3200</v>
      </c>
      <c r="M32" s="677">
        <f t="shared" si="14"/>
        <v>5993</v>
      </c>
      <c r="N32" s="657">
        <f t="shared" si="15"/>
        <v>2852</v>
      </c>
      <c r="O32" s="666">
        <f t="shared" si="15"/>
        <v>3141</v>
      </c>
    </row>
    <row r="33" spans="1:15" ht="25.5" customHeight="1">
      <c r="A33" s="668"/>
      <c r="B33" s="669" t="s">
        <v>166</v>
      </c>
      <c r="C33" s="670"/>
      <c r="D33" s="671">
        <f aca="true" t="shared" si="16" ref="D33:O33">SUM(D26:D32)</f>
        <v>73082</v>
      </c>
      <c r="E33" s="671">
        <f t="shared" si="16"/>
        <v>34713</v>
      </c>
      <c r="F33" s="673">
        <f t="shared" si="16"/>
        <v>38369</v>
      </c>
      <c r="G33" s="671">
        <f aca="true" t="shared" si="17" ref="G33:L33">SUM(G26:G32)</f>
        <v>72270</v>
      </c>
      <c r="H33" s="671">
        <f t="shared" si="17"/>
        <v>34656</v>
      </c>
      <c r="I33" s="673">
        <f t="shared" si="17"/>
        <v>37614</v>
      </c>
      <c r="J33" s="671">
        <f t="shared" si="17"/>
        <v>69463</v>
      </c>
      <c r="K33" s="671">
        <f t="shared" si="17"/>
        <v>33266</v>
      </c>
      <c r="L33" s="673">
        <f t="shared" si="17"/>
        <v>36197</v>
      </c>
      <c r="M33" s="671">
        <f t="shared" si="16"/>
        <v>67665</v>
      </c>
      <c r="N33" s="671">
        <f t="shared" si="16"/>
        <v>32411</v>
      </c>
      <c r="O33" s="673">
        <f t="shared" si="16"/>
        <v>35254</v>
      </c>
    </row>
  </sheetData>
  <sheetProtection/>
  <mergeCells count="8">
    <mergeCell ref="Q3:X3"/>
    <mergeCell ref="A5:C6"/>
    <mergeCell ref="A7:O7"/>
    <mergeCell ref="A16:O16"/>
    <mergeCell ref="A25:O25"/>
    <mergeCell ref="J5:L5"/>
    <mergeCell ref="M5:O5"/>
    <mergeCell ref="G5:I5"/>
  </mergeCells>
  <printOptions/>
  <pageMargins left="0.82" right="0.27" top="0.75" bottom="0.21" header="0.46" footer="0.18"/>
  <pageSetup horizontalDpi="600" verticalDpi="600" orientation="portrait" paperSize="9" r:id="rId1"/>
  <headerFooter alignWithMargins="0">
    <oddHeader xml:space="preserve">&amp;C&amp;"Times New Roman,Regular"- 23 -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I34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26.7109375" style="485" customWidth="1"/>
    <col min="2" max="2" width="10.57421875" style="485" customWidth="1"/>
    <col min="3" max="3" width="13.00390625" style="485" customWidth="1"/>
    <col min="4" max="7" width="11.00390625" style="485" customWidth="1"/>
    <col min="36" max="16384" width="9.140625" style="485" customWidth="1"/>
  </cols>
  <sheetData>
    <row r="1" spans="1:35" s="483" customFormat="1" ht="26.25" customHeight="1">
      <c r="A1" s="483" t="s">
        <v>417</v>
      </c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84"/>
      <c r="AI1" s="484"/>
    </row>
    <row r="2" ht="17.25" customHeight="1"/>
    <row r="3" spans="1:35" s="491" customFormat="1" ht="21.75" customHeight="1">
      <c r="A3" s="486"/>
      <c r="B3" s="487"/>
      <c r="C3" s="1431" t="s">
        <v>144</v>
      </c>
      <c r="D3" s="488" t="s">
        <v>141</v>
      </c>
      <c r="E3" s="488"/>
      <c r="F3" s="488"/>
      <c r="G3" s="489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  <c r="W3" s="490"/>
      <c r="X3" s="490"/>
      <c r="Y3" s="490"/>
      <c r="Z3" s="490"/>
      <c r="AA3" s="490"/>
      <c r="AB3" s="490"/>
      <c r="AC3" s="490"/>
      <c r="AD3" s="490"/>
      <c r="AE3" s="490"/>
      <c r="AF3" s="490"/>
      <c r="AG3" s="490"/>
      <c r="AH3" s="490"/>
      <c r="AI3" s="490"/>
    </row>
    <row r="4" spans="1:35" s="491" customFormat="1" ht="21.75" customHeight="1">
      <c r="A4" s="492" t="s">
        <v>16</v>
      </c>
      <c r="B4" s="493"/>
      <c r="C4" s="1432"/>
      <c r="D4" s="1476" t="s">
        <v>169</v>
      </c>
      <c r="E4" s="1477"/>
      <c r="F4" s="494" t="s">
        <v>171</v>
      </c>
      <c r="G4" s="489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490"/>
      <c r="X4" s="490"/>
      <c r="Y4" s="490"/>
      <c r="Z4" s="490"/>
      <c r="AA4" s="490"/>
      <c r="AB4" s="490"/>
      <c r="AC4" s="490"/>
      <c r="AD4" s="490"/>
      <c r="AE4" s="490"/>
      <c r="AF4" s="490"/>
      <c r="AG4" s="490"/>
      <c r="AH4" s="490"/>
      <c r="AI4" s="490"/>
    </row>
    <row r="5" spans="1:35" s="491" customFormat="1" ht="21.75" customHeight="1">
      <c r="A5" s="499"/>
      <c r="B5" s="500"/>
      <c r="C5" s="1433"/>
      <c r="D5" s="501" t="s">
        <v>58</v>
      </c>
      <c r="E5" s="502" t="s">
        <v>7</v>
      </c>
      <c r="F5" s="501" t="s">
        <v>58</v>
      </c>
      <c r="G5" s="503" t="s">
        <v>7</v>
      </c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  <c r="AH5" s="490"/>
      <c r="AI5" s="490"/>
    </row>
    <row r="6" spans="1:35" s="491" customFormat="1" ht="25.5" customHeight="1">
      <c r="A6" s="506" t="s">
        <v>59</v>
      </c>
      <c r="B6" s="497"/>
      <c r="C6" s="507">
        <v>19</v>
      </c>
      <c r="D6" s="508">
        <v>7</v>
      </c>
      <c r="E6" s="509">
        <f>(D6/C6)*100</f>
        <v>36.84210526315789</v>
      </c>
      <c r="F6" s="508">
        <v>12</v>
      </c>
      <c r="G6" s="509">
        <f aca="true" t="shared" si="0" ref="G6:G17">(F6/C6)*100</f>
        <v>63.1578947368421</v>
      </c>
      <c r="H6" s="512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</row>
    <row r="7" spans="1:35" s="491" customFormat="1" ht="25.5" customHeight="1">
      <c r="A7" s="506" t="s">
        <v>60</v>
      </c>
      <c r="B7" s="497"/>
      <c r="C7" s="507">
        <v>14</v>
      </c>
      <c r="D7" s="508">
        <v>7</v>
      </c>
      <c r="E7" s="509">
        <f aca="true" t="shared" si="1" ref="E7:E17">(D7/C7)*100</f>
        <v>50</v>
      </c>
      <c r="F7" s="508">
        <v>7</v>
      </c>
      <c r="G7" s="509">
        <f t="shared" si="0"/>
        <v>50</v>
      </c>
      <c r="H7" s="512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90"/>
      <c r="AH7" s="490"/>
      <c r="AI7" s="490"/>
    </row>
    <row r="8" spans="1:35" s="491" customFormat="1" ht="25.5" customHeight="1">
      <c r="A8" s="506" t="s">
        <v>62</v>
      </c>
      <c r="B8" s="497"/>
      <c r="C8" s="507">
        <v>13</v>
      </c>
      <c r="D8" s="508">
        <v>8</v>
      </c>
      <c r="E8" s="509">
        <f t="shared" si="1"/>
        <v>61.53846153846154</v>
      </c>
      <c r="F8" s="508">
        <v>5</v>
      </c>
      <c r="G8" s="509">
        <f t="shared" si="0"/>
        <v>38.46153846153847</v>
      </c>
      <c r="H8" s="512"/>
      <c r="I8" s="490"/>
      <c r="J8" s="490"/>
      <c r="K8" s="490"/>
      <c r="L8" s="490"/>
      <c r="M8" s="490"/>
      <c r="N8" s="490"/>
      <c r="O8" s="490"/>
      <c r="P8" s="490"/>
      <c r="Q8" s="490"/>
      <c r="R8" s="490"/>
      <c r="S8" s="490"/>
      <c r="T8" s="490"/>
      <c r="U8" s="490"/>
      <c r="V8" s="490"/>
      <c r="W8" s="490"/>
      <c r="X8" s="490"/>
      <c r="Y8" s="490"/>
      <c r="Z8" s="490"/>
      <c r="AA8" s="490"/>
      <c r="AB8" s="490"/>
      <c r="AC8" s="490"/>
      <c r="AD8" s="490"/>
      <c r="AE8" s="490"/>
      <c r="AF8" s="490"/>
      <c r="AG8" s="490"/>
      <c r="AH8" s="490"/>
      <c r="AI8" s="490"/>
    </row>
    <row r="9" spans="1:35" s="491" customFormat="1" ht="25.5" customHeight="1">
      <c r="A9" s="506" t="s">
        <v>63</v>
      </c>
      <c r="B9" s="497"/>
      <c r="C9" s="507">
        <v>12</v>
      </c>
      <c r="D9" s="508">
        <v>7</v>
      </c>
      <c r="E9" s="509">
        <f t="shared" si="1"/>
        <v>58.333333333333336</v>
      </c>
      <c r="F9" s="508">
        <v>5</v>
      </c>
      <c r="G9" s="509">
        <f t="shared" si="0"/>
        <v>41.66666666666667</v>
      </c>
      <c r="H9" s="512"/>
      <c r="I9" s="490"/>
      <c r="J9" s="490"/>
      <c r="K9" s="490"/>
      <c r="L9" s="490"/>
      <c r="M9" s="490"/>
      <c r="N9" s="490"/>
      <c r="O9" s="490"/>
      <c r="P9" s="490"/>
      <c r="Q9" s="490"/>
      <c r="R9" s="490"/>
      <c r="S9" s="490"/>
      <c r="T9" s="490"/>
      <c r="U9" s="490"/>
      <c r="V9" s="490"/>
      <c r="W9" s="490"/>
      <c r="X9" s="490"/>
      <c r="Y9" s="490"/>
      <c r="Z9" s="490"/>
      <c r="AA9" s="490"/>
      <c r="AB9" s="490"/>
      <c r="AC9" s="490"/>
      <c r="AD9" s="490"/>
      <c r="AE9" s="490"/>
      <c r="AF9" s="490"/>
      <c r="AG9" s="490"/>
      <c r="AH9" s="490"/>
      <c r="AI9" s="490"/>
    </row>
    <row r="10" spans="1:35" s="491" customFormat="1" ht="25.5" customHeight="1">
      <c r="A10" s="506" t="s">
        <v>64</v>
      </c>
      <c r="B10" s="497"/>
      <c r="C10" s="507">
        <v>9</v>
      </c>
      <c r="D10" s="508">
        <v>2</v>
      </c>
      <c r="E10" s="509">
        <f t="shared" si="1"/>
        <v>22.22222222222222</v>
      </c>
      <c r="F10" s="508">
        <v>7</v>
      </c>
      <c r="G10" s="509">
        <f t="shared" si="0"/>
        <v>77.77777777777779</v>
      </c>
      <c r="H10" s="512"/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0"/>
      <c r="T10" s="490"/>
      <c r="U10" s="490"/>
      <c r="V10" s="490"/>
      <c r="W10" s="490"/>
      <c r="X10" s="490"/>
      <c r="Y10" s="490"/>
      <c r="Z10" s="490"/>
      <c r="AA10" s="490"/>
      <c r="AB10" s="490"/>
      <c r="AC10" s="490"/>
      <c r="AD10" s="490"/>
      <c r="AE10" s="490"/>
      <c r="AF10" s="490"/>
      <c r="AG10" s="490"/>
      <c r="AH10" s="490"/>
      <c r="AI10" s="490"/>
    </row>
    <row r="11" spans="1:35" s="491" customFormat="1" ht="25.5" customHeight="1">
      <c r="A11" s="506" t="s">
        <v>65</v>
      </c>
      <c r="B11" s="497"/>
      <c r="C11" s="507">
        <v>7</v>
      </c>
      <c r="D11" s="508">
        <v>4</v>
      </c>
      <c r="E11" s="509">
        <f t="shared" si="1"/>
        <v>57.14285714285714</v>
      </c>
      <c r="F11" s="508">
        <v>3</v>
      </c>
      <c r="G11" s="509">
        <f t="shared" si="0"/>
        <v>42.857142857142854</v>
      </c>
      <c r="H11" s="512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0"/>
      <c r="T11" s="490"/>
      <c r="U11" s="490"/>
      <c r="V11" s="490"/>
      <c r="W11" s="490"/>
      <c r="X11" s="490"/>
      <c r="Y11" s="490"/>
      <c r="Z11" s="490"/>
      <c r="AA11" s="490"/>
      <c r="AB11" s="490"/>
      <c r="AC11" s="490"/>
      <c r="AD11" s="490"/>
      <c r="AE11" s="490"/>
      <c r="AF11" s="490"/>
      <c r="AG11" s="490"/>
      <c r="AH11" s="490"/>
      <c r="AI11" s="490"/>
    </row>
    <row r="12" spans="1:35" s="491" customFormat="1" ht="25.5" customHeight="1">
      <c r="A12" s="506" t="s">
        <v>66</v>
      </c>
      <c r="B12" s="497"/>
      <c r="C12" s="507">
        <v>39</v>
      </c>
      <c r="D12" s="508">
        <v>14</v>
      </c>
      <c r="E12" s="509">
        <f t="shared" si="1"/>
        <v>35.8974358974359</v>
      </c>
      <c r="F12" s="508">
        <v>25</v>
      </c>
      <c r="G12" s="509">
        <f t="shared" si="0"/>
        <v>64.1025641025641</v>
      </c>
      <c r="H12" s="512"/>
      <c r="I12" s="490"/>
      <c r="J12" s="490"/>
      <c r="K12" s="490"/>
      <c r="L12" s="490"/>
      <c r="M12" s="490"/>
      <c r="N12" s="490"/>
      <c r="O12" s="490"/>
      <c r="P12" s="490"/>
      <c r="Q12" s="490"/>
      <c r="R12" s="490"/>
      <c r="S12" s="490"/>
      <c r="T12" s="490"/>
      <c r="U12" s="490"/>
      <c r="V12" s="490"/>
      <c r="W12" s="490"/>
      <c r="X12" s="490"/>
      <c r="Y12" s="490"/>
      <c r="Z12" s="490"/>
      <c r="AA12" s="490"/>
      <c r="AB12" s="490"/>
      <c r="AC12" s="490"/>
      <c r="AD12" s="490"/>
      <c r="AE12" s="490"/>
      <c r="AF12" s="490"/>
      <c r="AG12" s="490"/>
      <c r="AH12" s="490"/>
      <c r="AI12" s="490"/>
    </row>
    <row r="13" spans="1:35" s="491" customFormat="1" ht="25.5" customHeight="1">
      <c r="A13" s="506" t="s">
        <v>67</v>
      </c>
      <c r="B13" s="497"/>
      <c r="C13" s="507">
        <v>8</v>
      </c>
      <c r="D13" s="508">
        <v>4</v>
      </c>
      <c r="E13" s="509">
        <f t="shared" si="1"/>
        <v>50</v>
      </c>
      <c r="F13" s="508">
        <v>4</v>
      </c>
      <c r="G13" s="509">
        <f t="shared" si="0"/>
        <v>50</v>
      </c>
      <c r="H13" s="512"/>
      <c r="I13" s="490"/>
      <c r="J13" s="490"/>
      <c r="K13" s="490"/>
      <c r="L13" s="490"/>
      <c r="M13" s="490"/>
      <c r="N13" s="490"/>
      <c r="O13" s="490"/>
      <c r="P13" s="490"/>
      <c r="Q13" s="490"/>
      <c r="R13" s="490"/>
      <c r="S13" s="490"/>
      <c r="T13" s="490"/>
      <c r="U13" s="490"/>
      <c r="V13" s="490"/>
      <c r="W13" s="490"/>
      <c r="X13" s="490"/>
      <c r="Y13" s="490"/>
      <c r="Z13" s="490"/>
      <c r="AA13" s="490"/>
      <c r="AB13" s="490"/>
      <c r="AC13" s="490"/>
      <c r="AD13" s="490"/>
      <c r="AE13" s="490"/>
      <c r="AF13" s="490"/>
      <c r="AG13" s="490"/>
      <c r="AH13" s="490"/>
      <c r="AI13" s="490"/>
    </row>
    <row r="14" spans="1:35" s="491" customFormat="1" ht="25.5" customHeight="1">
      <c r="A14" s="506" t="s">
        <v>68</v>
      </c>
      <c r="B14" s="497"/>
      <c r="C14" s="507">
        <v>5</v>
      </c>
      <c r="D14" s="508">
        <v>3</v>
      </c>
      <c r="E14" s="516">
        <f t="shared" si="1"/>
        <v>60</v>
      </c>
      <c r="F14" s="508">
        <v>2</v>
      </c>
      <c r="G14" s="516">
        <f t="shared" si="0"/>
        <v>40</v>
      </c>
      <c r="H14" s="512"/>
      <c r="I14" s="490"/>
      <c r="J14" s="490"/>
      <c r="K14" s="490"/>
      <c r="L14" s="490"/>
      <c r="M14" s="490"/>
      <c r="N14" s="490"/>
      <c r="O14" s="490"/>
      <c r="P14" s="490"/>
      <c r="Q14" s="490"/>
      <c r="R14" s="490"/>
      <c r="S14" s="490"/>
      <c r="T14" s="490"/>
      <c r="U14" s="490"/>
      <c r="V14" s="490"/>
      <c r="W14" s="490"/>
      <c r="X14" s="490"/>
      <c r="Y14" s="490"/>
      <c r="Z14" s="490"/>
      <c r="AA14" s="490"/>
      <c r="AB14" s="490"/>
      <c r="AC14" s="490"/>
      <c r="AD14" s="490"/>
      <c r="AE14" s="490"/>
      <c r="AF14" s="490"/>
      <c r="AG14" s="490"/>
      <c r="AH14" s="490"/>
      <c r="AI14" s="490"/>
    </row>
    <row r="15" spans="1:35" s="491" customFormat="1" ht="26.25" customHeight="1">
      <c r="A15" s="486" t="s">
        <v>69</v>
      </c>
      <c r="B15" s="487"/>
      <c r="C15" s="678">
        <f>SUM(C6:C14)</f>
        <v>126</v>
      </c>
      <c r="D15" s="518">
        <f>SUM(D6:D14)</f>
        <v>56</v>
      </c>
      <c r="E15" s="519">
        <f t="shared" si="1"/>
        <v>44.44444444444444</v>
      </c>
      <c r="F15" s="520">
        <f>SUM(F6:F14)</f>
        <v>70</v>
      </c>
      <c r="G15" s="519">
        <f t="shared" si="0"/>
        <v>55.55555555555556</v>
      </c>
      <c r="H15" s="512"/>
      <c r="I15" s="490"/>
      <c r="J15" s="490"/>
      <c r="K15" s="490"/>
      <c r="L15" s="490"/>
      <c r="M15" s="490"/>
      <c r="N15" s="490"/>
      <c r="O15" s="490"/>
      <c r="P15" s="490"/>
      <c r="Q15" s="490"/>
      <c r="R15" s="490"/>
      <c r="S15" s="490"/>
      <c r="T15" s="490"/>
      <c r="U15" s="490"/>
      <c r="V15" s="490"/>
      <c r="W15" s="490"/>
      <c r="X15" s="490"/>
      <c r="Y15" s="490"/>
      <c r="Z15" s="490"/>
      <c r="AA15" s="490"/>
      <c r="AB15" s="490"/>
      <c r="AC15" s="490"/>
      <c r="AD15" s="490"/>
      <c r="AE15" s="490"/>
      <c r="AF15" s="490"/>
      <c r="AG15" s="490"/>
      <c r="AH15" s="490"/>
      <c r="AI15" s="490"/>
    </row>
    <row r="16" spans="1:35" s="491" customFormat="1" ht="26.25" customHeight="1">
      <c r="A16" s="506" t="s">
        <v>70</v>
      </c>
      <c r="B16" s="497"/>
      <c r="C16" s="515">
        <v>5</v>
      </c>
      <c r="D16" s="522">
        <v>0</v>
      </c>
      <c r="E16" s="517">
        <v>0</v>
      </c>
      <c r="F16" s="523">
        <v>5</v>
      </c>
      <c r="G16" s="516">
        <f t="shared" si="0"/>
        <v>100</v>
      </c>
      <c r="H16" s="512"/>
      <c r="I16" s="490"/>
      <c r="J16" s="490"/>
      <c r="K16" s="490"/>
      <c r="L16" s="490"/>
      <c r="M16" s="490"/>
      <c r="N16" s="490"/>
      <c r="O16" s="490"/>
      <c r="P16" s="490"/>
      <c r="Q16" s="490"/>
      <c r="R16" s="490"/>
      <c r="S16" s="490"/>
      <c r="T16" s="490"/>
      <c r="U16" s="490"/>
      <c r="V16" s="490"/>
      <c r="W16" s="490"/>
      <c r="X16" s="490"/>
      <c r="Y16" s="490"/>
      <c r="Z16" s="490"/>
      <c r="AA16" s="490"/>
      <c r="AB16" s="490"/>
      <c r="AC16" s="490"/>
      <c r="AD16" s="490"/>
      <c r="AE16" s="490"/>
      <c r="AF16" s="490"/>
      <c r="AG16" s="490"/>
      <c r="AH16" s="490"/>
      <c r="AI16" s="490"/>
    </row>
    <row r="17" spans="1:35" s="491" customFormat="1" ht="28.5" customHeight="1">
      <c r="A17" s="526" t="s">
        <v>71</v>
      </c>
      <c r="B17" s="527"/>
      <c r="C17" s="528">
        <f>D17+F17</f>
        <v>131</v>
      </c>
      <c r="D17" s="529">
        <f>SUM(D15+D16)</f>
        <v>56</v>
      </c>
      <c r="E17" s="516">
        <f t="shared" si="1"/>
        <v>42.74809160305343</v>
      </c>
      <c r="F17" s="529">
        <f>SUM(F15+F16)</f>
        <v>75</v>
      </c>
      <c r="G17" s="516">
        <f t="shared" si="0"/>
        <v>57.25190839694656</v>
      </c>
      <c r="H17" s="512"/>
      <c r="I17" s="490"/>
      <c r="J17" s="490"/>
      <c r="K17" s="490"/>
      <c r="L17" s="490"/>
      <c r="M17" s="490"/>
      <c r="N17" s="490"/>
      <c r="O17" s="490"/>
      <c r="P17" s="490"/>
      <c r="Q17" s="490"/>
      <c r="R17" s="490"/>
      <c r="S17" s="490"/>
      <c r="T17" s="490"/>
      <c r="U17" s="490"/>
      <c r="V17" s="490"/>
      <c r="W17" s="490"/>
      <c r="X17" s="490"/>
      <c r="Y17" s="490"/>
      <c r="Z17" s="490"/>
      <c r="AA17" s="490"/>
      <c r="AB17" s="490"/>
      <c r="AC17" s="490"/>
      <c r="AD17" s="490"/>
      <c r="AE17" s="490"/>
      <c r="AF17" s="490"/>
      <c r="AG17" s="490"/>
      <c r="AH17" s="490"/>
      <c r="AI17" s="490"/>
    </row>
    <row r="18" spans="8:35" s="491" customFormat="1" ht="32.25" customHeight="1">
      <c r="H18" s="490"/>
      <c r="I18" s="490"/>
      <c r="J18" s="490"/>
      <c r="K18" s="490"/>
      <c r="L18" s="490"/>
      <c r="M18" s="490"/>
      <c r="N18" s="490"/>
      <c r="O18" s="490"/>
      <c r="P18" s="490"/>
      <c r="Q18" s="490"/>
      <c r="R18" s="490"/>
      <c r="S18" s="490"/>
      <c r="T18" s="490"/>
      <c r="U18" s="490"/>
      <c r="V18" s="490"/>
      <c r="W18" s="490"/>
      <c r="X18" s="490"/>
      <c r="Y18" s="490"/>
      <c r="Z18" s="490"/>
      <c r="AA18" s="490"/>
      <c r="AB18" s="490"/>
      <c r="AC18" s="490"/>
      <c r="AD18" s="490"/>
      <c r="AE18" s="490"/>
      <c r="AF18" s="490"/>
      <c r="AG18" s="490"/>
      <c r="AH18" s="490"/>
      <c r="AI18" s="490"/>
    </row>
    <row r="19" spans="1:35" s="483" customFormat="1" ht="15" customHeight="1">
      <c r="A19" s="483" t="s">
        <v>418</v>
      </c>
      <c r="H19" s="484"/>
      <c r="I19" s="484"/>
      <c r="J19" s="484"/>
      <c r="K19" s="484"/>
      <c r="L19" s="484"/>
      <c r="M19" s="484"/>
      <c r="N19" s="484"/>
      <c r="O19" s="484"/>
      <c r="P19" s="484"/>
      <c r="Q19" s="484"/>
      <c r="R19" s="484"/>
      <c r="S19" s="484"/>
      <c r="T19" s="484"/>
      <c r="U19" s="484"/>
      <c r="V19" s="484"/>
      <c r="W19" s="484"/>
      <c r="X19" s="484"/>
      <c r="Y19" s="484"/>
      <c r="Z19" s="484"/>
      <c r="AA19" s="484"/>
      <c r="AB19" s="484"/>
      <c r="AC19" s="484"/>
      <c r="AD19" s="484"/>
      <c r="AE19" s="484"/>
      <c r="AF19" s="484"/>
      <c r="AG19" s="484"/>
      <c r="AH19" s="484"/>
      <c r="AI19" s="484"/>
    </row>
    <row r="20" spans="8:35" s="491" customFormat="1" ht="17.25" customHeight="1">
      <c r="H20" s="490"/>
      <c r="I20" s="490"/>
      <c r="J20" s="490"/>
      <c r="K20" s="490"/>
      <c r="L20" s="490"/>
      <c r="M20" s="490"/>
      <c r="N20" s="490"/>
      <c r="O20" s="490"/>
      <c r="P20" s="490"/>
      <c r="Q20" s="490"/>
      <c r="R20" s="490"/>
      <c r="S20" s="490"/>
      <c r="T20" s="490"/>
      <c r="U20" s="490"/>
      <c r="V20" s="490"/>
      <c r="W20" s="490"/>
      <c r="X20" s="490"/>
      <c r="Y20" s="490"/>
      <c r="Z20" s="490"/>
      <c r="AA20" s="490"/>
      <c r="AB20" s="490"/>
      <c r="AC20" s="490"/>
      <c r="AD20" s="490"/>
      <c r="AE20" s="490"/>
      <c r="AF20" s="490"/>
      <c r="AG20" s="490"/>
      <c r="AH20" s="490"/>
      <c r="AI20" s="490"/>
    </row>
    <row r="21" spans="1:35" s="491" customFormat="1" ht="21.75" customHeight="1">
      <c r="A21" s="486"/>
      <c r="B21" s="487"/>
      <c r="C21" s="1431" t="s">
        <v>144</v>
      </c>
      <c r="D21" s="488" t="s">
        <v>141</v>
      </c>
      <c r="E21" s="488"/>
      <c r="F21" s="488"/>
      <c r="G21" s="489"/>
      <c r="H21" s="490"/>
      <c r="I21" s="490"/>
      <c r="J21" s="490"/>
      <c r="K21" s="490"/>
      <c r="L21" s="490"/>
      <c r="M21" s="490"/>
      <c r="N21" s="490"/>
      <c r="O21" s="490"/>
      <c r="P21" s="490"/>
      <c r="Q21" s="490"/>
      <c r="R21" s="490"/>
      <c r="S21" s="490"/>
      <c r="T21" s="490"/>
      <c r="U21" s="490"/>
      <c r="V21" s="490"/>
      <c r="W21" s="490"/>
      <c r="X21" s="490"/>
      <c r="Y21" s="490"/>
      <c r="Z21" s="490"/>
      <c r="AA21" s="490"/>
      <c r="AB21" s="490"/>
      <c r="AC21" s="490"/>
      <c r="AD21" s="490"/>
      <c r="AE21" s="490"/>
      <c r="AF21" s="490"/>
      <c r="AG21" s="490"/>
      <c r="AH21" s="490"/>
      <c r="AI21" s="490"/>
    </row>
    <row r="22" spans="1:35" s="491" customFormat="1" ht="21.75" customHeight="1">
      <c r="A22" s="492" t="s">
        <v>33</v>
      </c>
      <c r="B22" s="493"/>
      <c r="C22" s="1432"/>
      <c r="D22" s="1476" t="s">
        <v>170</v>
      </c>
      <c r="E22" s="1477"/>
      <c r="F22" s="494" t="s">
        <v>172</v>
      </c>
      <c r="G22" s="489"/>
      <c r="H22" s="490"/>
      <c r="I22" s="490"/>
      <c r="J22" s="490"/>
      <c r="K22" s="490"/>
      <c r="L22" s="490"/>
      <c r="M22" s="490"/>
      <c r="N22" s="490"/>
      <c r="O22" s="490"/>
      <c r="P22" s="490"/>
      <c r="Q22" s="490"/>
      <c r="R22" s="490"/>
      <c r="S22" s="490"/>
      <c r="T22" s="490"/>
      <c r="U22" s="490"/>
      <c r="V22" s="490"/>
      <c r="W22" s="490"/>
      <c r="X22" s="490"/>
      <c r="Y22" s="490"/>
      <c r="Z22" s="490"/>
      <c r="AA22" s="490"/>
      <c r="AB22" s="490"/>
      <c r="AC22" s="490"/>
      <c r="AD22" s="490"/>
      <c r="AE22" s="490"/>
      <c r="AF22" s="490"/>
      <c r="AG22" s="490"/>
      <c r="AH22" s="490"/>
      <c r="AI22" s="490"/>
    </row>
    <row r="23" spans="1:35" s="491" customFormat="1" ht="21.75" customHeight="1">
      <c r="A23" s="499"/>
      <c r="B23" s="500"/>
      <c r="C23" s="1433"/>
      <c r="D23" s="501" t="s">
        <v>58</v>
      </c>
      <c r="E23" s="502" t="s">
        <v>7</v>
      </c>
      <c r="F23" s="501" t="s">
        <v>58</v>
      </c>
      <c r="G23" s="503" t="s">
        <v>7</v>
      </c>
      <c r="H23" s="490"/>
      <c r="I23" s="490"/>
      <c r="J23" s="490"/>
      <c r="K23" s="490"/>
      <c r="L23" s="490"/>
      <c r="M23" s="490"/>
      <c r="N23" s="490"/>
      <c r="O23" s="490"/>
      <c r="P23" s="490"/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/>
      <c r="AG23" s="490"/>
      <c r="AH23" s="490"/>
      <c r="AI23" s="490"/>
    </row>
    <row r="24" spans="1:35" s="491" customFormat="1" ht="28.5" customHeight="1">
      <c r="A24" s="506" t="s">
        <v>34</v>
      </c>
      <c r="B24" s="497"/>
      <c r="C24" s="507">
        <v>47</v>
      </c>
      <c r="D24" s="508">
        <v>23</v>
      </c>
      <c r="E24" s="532">
        <f aca="true" t="shared" si="2" ref="E24:E29">(D24/C24)*100</f>
        <v>48.93617021276596</v>
      </c>
      <c r="F24" s="508">
        <v>24</v>
      </c>
      <c r="G24" s="532">
        <f aca="true" t="shared" si="3" ref="G24:G29">(F24/C24)*100</f>
        <v>51.06382978723404</v>
      </c>
      <c r="H24" s="534"/>
      <c r="I24" s="490"/>
      <c r="J24" s="490"/>
      <c r="K24" s="490"/>
      <c r="L24" s="490"/>
      <c r="M24" s="490"/>
      <c r="N24" s="490"/>
      <c r="O24" s="490"/>
      <c r="P24" s="490"/>
      <c r="Q24" s="490"/>
      <c r="R24" s="490"/>
      <c r="S24" s="490"/>
      <c r="T24" s="490"/>
      <c r="U24" s="490"/>
      <c r="V24" s="490"/>
      <c r="W24" s="490"/>
      <c r="X24" s="490"/>
      <c r="Y24" s="490"/>
      <c r="Z24" s="490"/>
      <c r="AA24" s="490"/>
      <c r="AB24" s="490"/>
      <c r="AC24" s="490"/>
      <c r="AD24" s="490"/>
      <c r="AE24" s="490"/>
      <c r="AF24" s="490"/>
      <c r="AG24" s="490"/>
      <c r="AH24" s="490"/>
      <c r="AI24" s="490"/>
    </row>
    <row r="25" spans="1:35" s="491" customFormat="1" ht="31.5" customHeight="1">
      <c r="A25" s="1429" t="s">
        <v>35</v>
      </c>
      <c r="B25" s="1430"/>
      <c r="C25" s="507">
        <v>34</v>
      </c>
      <c r="D25" s="508">
        <v>16</v>
      </c>
      <c r="E25" s="532">
        <f t="shared" si="2"/>
        <v>47.05882352941176</v>
      </c>
      <c r="F25" s="508">
        <v>18</v>
      </c>
      <c r="G25" s="532">
        <f t="shared" si="3"/>
        <v>52.94117647058824</v>
      </c>
      <c r="H25" s="534"/>
      <c r="I25" s="490"/>
      <c r="J25" s="490"/>
      <c r="K25" s="490"/>
      <c r="L25" s="490"/>
      <c r="M25" s="490"/>
      <c r="N25" s="490"/>
      <c r="O25" s="490"/>
      <c r="P25" s="490"/>
      <c r="Q25" s="490"/>
      <c r="R25" s="490"/>
      <c r="S25" s="490"/>
      <c r="T25" s="490"/>
      <c r="U25" s="490"/>
      <c r="V25" s="490"/>
      <c r="W25" s="490"/>
      <c r="X25" s="490"/>
      <c r="Y25" s="490"/>
      <c r="Z25" s="490"/>
      <c r="AA25" s="490"/>
      <c r="AB25" s="490"/>
      <c r="AC25" s="490"/>
      <c r="AD25" s="490"/>
      <c r="AE25" s="490"/>
      <c r="AF25" s="490"/>
      <c r="AG25" s="490"/>
      <c r="AH25" s="490"/>
      <c r="AI25" s="490"/>
    </row>
    <row r="26" spans="1:35" s="491" customFormat="1" ht="31.5" customHeight="1">
      <c r="A26" s="506" t="s">
        <v>36</v>
      </c>
      <c r="B26" s="497"/>
      <c r="C26" s="507">
        <v>25</v>
      </c>
      <c r="D26" s="508">
        <v>7</v>
      </c>
      <c r="E26" s="532">
        <f t="shared" si="2"/>
        <v>28.000000000000004</v>
      </c>
      <c r="F26" s="508">
        <v>18</v>
      </c>
      <c r="G26" s="532">
        <f t="shared" si="3"/>
        <v>72</v>
      </c>
      <c r="H26" s="534"/>
      <c r="I26" s="490"/>
      <c r="J26" s="490"/>
      <c r="K26" s="490"/>
      <c r="L26" s="490"/>
      <c r="M26" s="490"/>
      <c r="N26" s="490"/>
      <c r="O26" s="490"/>
      <c r="P26" s="490"/>
      <c r="Q26" s="490"/>
      <c r="R26" s="490"/>
      <c r="S26" s="490"/>
      <c r="T26" s="490"/>
      <c r="U26" s="490"/>
      <c r="V26" s="490"/>
      <c r="W26" s="490"/>
      <c r="X26" s="490"/>
      <c r="Y26" s="490"/>
      <c r="Z26" s="490"/>
      <c r="AA26" s="490"/>
      <c r="AB26" s="490"/>
      <c r="AC26" s="490"/>
      <c r="AD26" s="490"/>
      <c r="AE26" s="490"/>
      <c r="AF26" s="490"/>
      <c r="AG26" s="490"/>
      <c r="AH26" s="490"/>
      <c r="AI26" s="490"/>
    </row>
    <row r="27" spans="1:35" s="491" customFormat="1" ht="31.5" customHeight="1">
      <c r="A27" s="506" t="s">
        <v>51</v>
      </c>
      <c r="B27" s="536"/>
      <c r="C27" s="507">
        <v>20</v>
      </c>
      <c r="D27" s="508">
        <v>10</v>
      </c>
      <c r="E27" s="532">
        <f t="shared" si="2"/>
        <v>50</v>
      </c>
      <c r="F27" s="508">
        <v>10</v>
      </c>
      <c r="G27" s="532">
        <f t="shared" si="3"/>
        <v>50</v>
      </c>
      <c r="H27" s="534"/>
      <c r="I27" s="490"/>
      <c r="J27" s="490"/>
      <c r="K27" s="490"/>
      <c r="L27" s="490"/>
      <c r="M27" s="490"/>
      <c r="N27" s="490"/>
      <c r="O27" s="490"/>
      <c r="P27" s="490"/>
      <c r="Q27" s="490"/>
      <c r="R27" s="490"/>
      <c r="S27" s="490"/>
      <c r="T27" s="490"/>
      <c r="U27" s="490"/>
      <c r="V27" s="490"/>
      <c r="W27" s="490"/>
      <c r="X27" s="490"/>
      <c r="Y27" s="490"/>
      <c r="Z27" s="490"/>
      <c r="AA27" s="490"/>
      <c r="AB27" s="490"/>
      <c r="AC27" s="490"/>
      <c r="AD27" s="490"/>
      <c r="AE27" s="490"/>
      <c r="AF27" s="490"/>
      <c r="AG27" s="490"/>
      <c r="AH27" s="490"/>
      <c r="AI27" s="490"/>
    </row>
    <row r="28" spans="1:35" s="491" customFormat="1" ht="31.5" customHeight="1">
      <c r="A28" s="506" t="s">
        <v>38</v>
      </c>
      <c r="B28" s="497"/>
      <c r="C28" s="515">
        <v>5</v>
      </c>
      <c r="D28" s="537">
        <v>0</v>
      </c>
      <c r="E28" s="538">
        <v>0</v>
      </c>
      <c r="F28" s="529">
        <v>5</v>
      </c>
      <c r="G28" s="539">
        <f t="shared" si="3"/>
        <v>100</v>
      </c>
      <c r="H28" s="534"/>
      <c r="I28" s="490"/>
      <c r="J28" s="490"/>
      <c r="K28" s="490"/>
      <c r="L28" s="490"/>
      <c r="M28" s="490"/>
      <c r="N28" s="490"/>
      <c r="O28" s="490"/>
      <c r="P28" s="490"/>
      <c r="Q28" s="490"/>
      <c r="R28" s="490"/>
      <c r="S28" s="490"/>
      <c r="T28" s="490"/>
      <c r="U28" s="490"/>
      <c r="V28" s="490"/>
      <c r="W28" s="490"/>
      <c r="X28" s="490"/>
      <c r="Y28" s="490"/>
      <c r="Z28" s="490"/>
      <c r="AA28" s="490"/>
      <c r="AB28" s="490"/>
      <c r="AC28" s="490"/>
      <c r="AD28" s="490"/>
      <c r="AE28" s="490"/>
      <c r="AF28" s="490"/>
      <c r="AG28" s="490"/>
      <c r="AH28" s="490"/>
      <c r="AI28" s="490"/>
    </row>
    <row r="29" spans="1:35" s="491" customFormat="1" ht="39" customHeight="1">
      <c r="A29" s="526" t="s">
        <v>52</v>
      </c>
      <c r="B29" s="527"/>
      <c r="C29" s="515">
        <f>D29+F29</f>
        <v>131</v>
      </c>
      <c r="D29" s="523">
        <f>SUM(D24:D28)</f>
        <v>56</v>
      </c>
      <c r="E29" s="540">
        <f t="shared" si="2"/>
        <v>42.74809160305343</v>
      </c>
      <c r="F29" s="529">
        <f>SUM(F24:F28)</f>
        <v>75</v>
      </c>
      <c r="G29" s="539">
        <f t="shared" si="3"/>
        <v>57.25190839694656</v>
      </c>
      <c r="H29" s="534"/>
      <c r="I29" s="490"/>
      <c r="J29" s="490"/>
      <c r="K29" s="490"/>
      <c r="L29" s="490"/>
      <c r="M29" s="490"/>
      <c r="N29" s="490"/>
      <c r="O29" s="490"/>
      <c r="P29" s="490"/>
      <c r="Q29" s="490"/>
      <c r="R29" s="490"/>
      <c r="S29" s="490"/>
      <c r="T29" s="490"/>
      <c r="U29" s="490"/>
      <c r="V29" s="490"/>
      <c r="W29" s="490"/>
      <c r="X29" s="490"/>
      <c r="Y29" s="490"/>
      <c r="Z29" s="490"/>
      <c r="AA29" s="490"/>
      <c r="AB29" s="490"/>
      <c r="AC29" s="490"/>
      <c r="AD29" s="490"/>
      <c r="AE29" s="490"/>
      <c r="AF29" s="490"/>
      <c r="AG29" s="490"/>
      <c r="AH29" s="490"/>
      <c r="AI29" s="490"/>
    </row>
    <row r="30" spans="1:35" s="491" customFormat="1" ht="19.5" customHeight="1">
      <c r="A30" s="497"/>
      <c r="B30" s="497"/>
      <c r="C30" s="981"/>
      <c r="D30" s="981"/>
      <c r="E30" s="982"/>
      <c r="F30" s="981"/>
      <c r="G30" s="982"/>
      <c r="H30" s="534"/>
      <c r="I30" s="490"/>
      <c r="J30" s="490"/>
      <c r="K30" s="490"/>
      <c r="L30" s="490"/>
      <c r="M30" s="490"/>
      <c r="N30" s="490"/>
      <c r="O30" s="490"/>
      <c r="P30" s="490"/>
      <c r="Q30" s="490"/>
      <c r="R30" s="490"/>
      <c r="S30" s="490"/>
      <c r="T30" s="490"/>
      <c r="U30" s="490"/>
      <c r="V30" s="490"/>
      <c r="W30" s="490"/>
      <c r="X30" s="490"/>
      <c r="Y30" s="490"/>
      <c r="Z30" s="490"/>
      <c r="AA30" s="490"/>
      <c r="AB30" s="490"/>
      <c r="AC30" s="490"/>
      <c r="AD30" s="490"/>
      <c r="AE30" s="490"/>
      <c r="AF30" s="490"/>
      <c r="AG30" s="490"/>
      <c r="AH30" s="490"/>
      <c r="AI30" s="490"/>
    </row>
    <row r="31" ht="17.25" customHeight="1">
      <c r="A31" s="542"/>
    </row>
    <row r="32" spans="1:7" s="544" customFormat="1" ht="15" customHeight="1">
      <c r="A32" s="543" t="s">
        <v>446</v>
      </c>
      <c r="B32" s="543"/>
      <c r="C32" s="543"/>
      <c r="D32" s="543"/>
      <c r="E32" s="543"/>
      <c r="F32" s="543"/>
      <c r="G32" s="543"/>
    </row>
    <row r="33" spans="1:9" s="545" customFormat="1" ht="15" customHeight="1">
      <c r="A33" s="1478" t="s">
        <v>173</v>
      </c>
      <c r="B33" s="1428"/>
      <c r="C33" s="1428"/>
      <c r="D33" s="1428"/>
      <c r="E33" s="1428"/>
      <c r="F33" s="1428"/>
      <c r="G33" s="1428"/>
      <c r="H33" s="1259"/>
      <c r="I33" s="1259"/>
    </row>
    <row r="34" spans="1:7" s="545" customFormat="1" ht="18" customHeight="1">
      <c r="A34" s="485"/>
      <c r="B34" s="485"/>
      <c r="C34" s="546"/>
      <c r="D34" s="546"/>
      <c r="E34" s="546"/>
      <c r="F34" s="546"/>
      <c r="G34" s="546"/>
    </row>
  </sheetData>
  <sheetProtection/>
  <mergeCells count="6">
    <mergeCell ref="C3:C5"/>
    <mergeCell ref="D4:E4"/>
    <mergeCell ref="A25:B25"/>
    <mergeCell ref="A33:I33"/>
    <mergeCell ref="C21:C23"/>
    <mergeCell ref="D22:E22"/>
  </mergeCells>
  <printOptions horizontalCentered="1"/>
  <pageMargins left="0.64" right="0.25" top="0.6" bottom="0.31" header="0.35" footer="0"/>
  <pageSetup horizontalDpi="300" verticalDpi="300" orientation="portrait" paperSize="9" scale="92" r:id="rId1"/>
  <headerFooter alignWithMargins="0">
    <oddHeader>&amp;C&amp;"Times New Roman,Regular"&amp;11- 24 -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80"/>
  <sheetViews>
    <sheetView zoomScalePageLayoutView="0" workbookViewId="0" topLeftCell="A1">
      <pane xSplit="1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39" sqref="J39"/>
    </sheetView>
  </sheetViews>
  <sheetFormatPr defaultColWidth="9.140625" defaultRowHeight="12.75"/>
  <cols>
    <col min="1" max="1" width="46.00390625" style="53" customWidth="1"/>
    <col min="2" max="2" width="0" style="1189" hidden="1" customWidth="1"/>
    <col min="3" max="3" width="10.140625" style="1189" bestFit="1" customWidth="1"/>
    <col min="4" max="7" width="9.140625" style="1189" customWidth="1"/>
    <col min="8" max="8" width="9.57421875" style="53" bestFit="1" customWidth="1"/>
    <col min="9" max="16384" width="9.140625" style="53" customWidth="1"/>
  </cols>
  <sheetData>
    <row r="2" ht="15">
      <c r="A2" s="2" t="s">
        <v>353</v>
      </c>
    </row>
    <row r="4" spans="1:10" ht="20.25" customHeight="1">
      <c r="A4" s="2"/>
      <c r="B4" s="1188">
        <v>2004</v>
      </c>
      <c r="C4" s="1188">
        <v>2005</v>
      </c>
      <c r="D4" s="1188">
        <v>2006</v>
      </c>
      <c r="E4" s="1188">
        <v>2007</v>
      </c>
      <c r="F4" s="1188">
        <v>2008</v>
      </c>
      <c r="G4" s="1188">
        <v>2009</v>
      </c>
      <c r="H4" s="2"/>
      <c r="I4" s="2"/>
      <c r="J4" s="2"/>
    </row>
    <row r="5" spans="1:10" ht="15">
      <c r="A5" s="12" t="s">
        <v>322</v>
      </c>
      <c r="B5" s="1"/>
      <c r="C5" s="1"/>
      <c r="D5" s="1"/>
      <c r="E5" s="1"/>
      <c r="F5" s="1"/>
      <c r="G5" s="1"/>
      <c r="H5" s="2"/>
      <c r="I5" s="2"/>
      <c r="J5" s="2"/>
    </row>
    <row r="6" spans="1:10" ht="18.75" customHeight="1">
      <c r="A6" s="1178" t="s">
        <v>323</v>
      </c>
      <c r="B6" s="1190">
        <v>1070</v>
      </c>
      <c r="C6" s="1190">
        <v>1072</v>
      </c>
      <c r="D6" s="1190">
        <v>1087</v>
      </c>
      <c r="E6" s="1190">
        <v>1076</v>
      </c>
      <c r="F6" s="1190">
        <v>1070</v>
      </c>
      <c r="G6" s="1190">
        <v>1057</v>
      </c>
      <c r="H6" s="2"/>
      <c r="I6" s="2"/>
      <c r="J6" s="2"/>
    </row>
    <row r="7" spans="1:10" ht="18.75" customHeight="1">
      <c r="A7" s="1179" t="s">
        <v>176</v>
      </c>
      <c r="B7" s="1191">
        <v>37483</v>
      </c>
      <c r="C7" s="1191">
        <v>37356</v>
      </c>
      <c r="D7" s="1191">
        <v>37129</v>
      </c>
      <c r="E7" s="1191">
        <v>36467</v>
      </c>
      <c r="F7" s="1191">
        <v>36242</v>
      </c>
      <c r="G7" s="1191">
        <v>35974</v>
      </c>
      <c r="H7" s="2"/>
      <c r="I7" s="2"/>
      <c r="J7" s="2"/>
    </row>
    <row r="8" spans="1:10" ht="18.75" customHeight="1">
      <c r="A8" s="1179" t="s">
        <v>324</v>
      </c>
      <c r="B8" s="1191">
        <v>2474</v>
      </c>
      <c r="C8" s="1191">
        <v>2501</v>
      </c>
      <c r="D8" s="1191">
        <v>2527</v>
      </c>
      <c r="E8" s="1191">
        <v>2513</v>
      </c>
      <c r="F8" s="1191">
        <v>2541</v>
      </c>
      <c r="G8" s="1191">
        <v>2518</v>
      </c>
      <c r="H8" s="2"/>
      <c r="I8" s="2"/>
      <c r="J8" s="2"/>
    </row>
    <row r="9" spans="1:10" ht="18.75" customHeight="1">
      <c r="A9" s="1179" t="s">
        <v>338</v>
      </c>
      <c r="B9" s="1192">
        <v>96</v>
      </c>
      <c r="C9" s="1192">
        <v>94</v>
      </c>
      <c r="D9" s="1192">
        <v>95</v>
      </c>
      <c r="E9" s="1192">
        <v>94</v>
      </c>
      <c r="F9" s="1192">
        <v>94</v>
      </c>
      <c r="G9" s="1244">
        <v>96</v>
      </c>
      <c r="H9" s="1247"/>
      <c r="I9" s="2"/>
      <c r="J9" s="2"/>
    </row>
    <row r="10" spans="1:10" ht="18.75" customHeight="1">
      <c r="A10" s="1180" t="s">
        <v>325</v>
      </c>
      <c r="B10" s="1193">
        <v>15</v>
      </c>
      <c r="C10" s="1193">
        <v>15</v>
      </c>
      <c r="D10" s="1193">
        <v>15</v>
      </c>
      <c r="E10" s="1193">
        <v>15</v>
      </c>
      <c r="F10" s="1193">
        <v>14</v>
      </c>
      <c r="G10" s="1193">
        <v>14</v>
      </c>
      <c r="H10" s="2"/>
      <c r="I10" s="2"/>
      <c r="J10" s="2"/>
    </row>
    <row r="11" spans="2:10" ht="15.75" customHeight="1">
      <c r="B11" s="1"/>
      <c r="C11" s="1"/>
      <c r="D11" s="1"/>
      <c r="E11" s="1"/>
      <c r="F11" s="1"/>
      <c r="G11" s="1"/>
      <c r="H11" s="2"/>
      <c r="I11" s="2"/>
      <c r="J11" s="2"/>
    </row>
    <row r="12" spans="1:10" ht="15">
      <c r="A12" s="12" t="s">
        <v>326</v>
      </c>
      <c r="B12" s="1"/>
      <c r="C12" s="1"/>
      <c r="D12" s="1"/>
      <c r="E12" s="1"/>
      <c r="F12" s="1"/>
      <c r="G12" s="1"/>
      <c r="H12" s="2"/>
      <c r="I12" s="2"/>
      <c r="J12" s="2"/>
    </row>
    <row r="13" spans="1:10" ht="18.75" customHeight="1">
      <c r="A13" s="1178" t="s">
        <v>323</v>
      </c>
      <c r="B13" s="1194">
        <v>289</v>
      </c>
      <c r="C13" s="1194">
        <v>291</v>
      </c>
      <c r="D13" s="1194">
        <v>290</v>
      </c>
      <c r="E13" s="1194">
        <v>289</v>
      </c>
      <c r="F13" s="1194">
        <v>299</v>
      </c>
      <c r="G13" s="1194">
        <v>302</v>
      </c>
      <c r="H13" s="2"/>
      <c r="I13" s="2"/>
      <c r="J13" s="2"/>
    </row>
    <row r="14" spans="1:10" ht="18.75" customHeight="1">
      <c r="A14" s="1179" t="s">
        <v>176</v>
      </c>
      <c r="B14" s="1191">
        <v>126226</v>
      </c>
      <c r="C14" s="1191">
        <v>123562</v>
      </c>
      <c r="D14" s="1191">
        <v>121387</v>
      </c>
      <c r="E14" s="1191">
        <v>119310</v>
      </c>
      <c r="F14" s="1191">
        <v>119022</v>
      </c>
      <c r="G14" s="1191">
        <v>117922</v>
      </c>
      <c r="H14" s="2"/>
      <c r="I14" s="2"/>
      <c r="J14" s="2"/>
    </row>
    <row r="15" spans="1:10" ht="18.75" customHeight="1">
      <c r="A15" s="1179" t="s">
        <v>324</v>
      </c>
      <c r="B15" s="1191">
        <v>5741</v>
      </c>
      <c r="C15" s="1191">
        <v>5531</v>
      </c>
      <c r="D15" s="1191">
        <v>5598</v>
      </c>
      <c r="E15" s="1191">
        <v>5548</v>
      </c>
      <c r="F15" s="1191">
        <v>5495</v>
      </c>
      <c r="G15" s="1191">
        <f>4080+1374</f>
        <v>5454</v>
      </c>
      <c r="H15" s="2"/>
      <c r="I15" s="1247"/>
      <c r="J15" s="2"/>
    </row>
    <row r="16" spans="1:10" ht="18.75" customHeight="1">
      <c r="A16" s="1179" t="s">
        <v>338</v>
      </c>
      <c r="B16" s="1192">
        <v>102</v>
      </c>
      <c r="C16" s="1192">
        <v>102</v>
      </c>
      <c r="D16" s="1192">
        <v>102</v>
      </c>
      <c r="E16" s="1192">
        <v>101</v>
      </c>
      <c r="F16" s="1192">
        <v>101</v>
      </c>
      <c r="G16" s="1192">
        <v>101</v>
      </c>
      <c r="H16" s="2"/>
      <c r="I16" s="2"/>
      <c r="J16" s="2"/>
    </row>
    <row r="17" spans="1:10" ht="18.75" customHeight="1">
      <c r="A17" s="1179" t="s">
        <v>325</v>
      </c>
      <c r="B17" s="1192">
        <v>29</v>
      </c>
      <c r="C17" s="1192">
        <v>30</v>
      </c>
      <c r="D17" s="1192">
        <v>29</v>
      </c>
      <c r="E17" s="1192">
        <v>28</v>
      </c>
      <c r="F17" s="1192">
        <v>29</v>
      </c>
      <c r="G17" s="1192">
        <v>29</v>
      </c>
      <c r="H17" s="1247"/>
      <c r="I17" s="2"/>
      <c r="J17" s="2"/>
    </row>
    <row r="18" spans="1:10" ht="18.75" customHeight="1">
      <c r="A18" s="1181" t="s">
        <v>352</v>
      </c>
      <c r="B18" s="1195">
        <v>79</v>
      </c>
      <c r="C18" s="1195">
        <v>81</v>
      </c>
      <c r="D18" s="1195">
        <v>84</v>
      </c>
      <c r="E18" s="1195">
        <v>81</v>
      </c>
      <c r="F18" s="1248">
        <v>82</v>
      </c>
      <c r="G18" s="1248" t="s">
        <v>327</v>
      </c>
      <c r="H18" s="2"/>
      <c r="I18" s="2"/>
      <c r="J18" s="2"/>
    </row>
    <row r="19" spans="1:10" ht="18.75" customHeight="1">
      <c r="A19" s="1182" t="s">
        <v>339</v>
      </c>
      <c r="B19" s="1196">
        <v>63</v>
      </c>
      <c r="C19" s="1196">
        <v>64.9</v>
      </c>
      <c r="D19" s="1196">
        <v>67.9</v>
      </c>
      <c r="E19" s="1196">
        <v>66.2</v>
      </c>
      <c r="F19" s="1193">
        <v>67.4</v>
      </c>
      <c r="G19" s="1193" t="s">
        <v>327</v>
      </c>
      <c r="H19" s="2"/>
      <c r="I19" s="2"/>
      <c r="J19" s="2"/>
    </row>
    <row r="20" spans="1:10" ht="15.75" customHeight="1">
      <c r="A20" s="2"/>
      <c r="B20" s="1"/>
      <c r="C20" s="1"/>
      <c r="D20" s="1"/>
      <c r="E20" s="1"/>
      <c r="F20" s="1"/>
      <c r="G20" s="1"/>
      <c r="H20" s="2"/>
      <c r="I20" s="2"/>
      <c r="J20" s="2"/>
    </row>
    <row r="21" spans="1:10" ht="15">
      <c r="A21" s="12" t="s">
        <v>328</v>
      </c>
      <c r="B21" s="1"/>
      <c r="C21" s="1"/>
      <c r="D21" s="1"/>
      <c r="E21" s="1"/>
      <c r="F21" s="1"/>
      <c r="G21" s="1"/>
      <c r="H21" s="2"/>
      <c r="I21" s="2"/>
      <c r="J21" s="2"/>
    </row>
    <row r="22" spans="1:10" ht="18.75" customHeight="1">
      <c r="A22" s="1178" t="s">
        <v>323</v>
      </c>
      <c r="B22" s="1197">
        <f>176+13</f>
        <v>189</v>
      </c>
      <c r="C22" s="1197">
        <f>188+8</f>
        <v>196</v>
      </c>
      <c r="D22" s="1197">
        <f>189+7</f>
        <v>196</v>
      </c>
      <c r="E22" s="1194">
        <f>186+7</f>
        <v>193</v>
      </c>
      <c r="F22" s="1194">
        <f>180+7</f>
        <v>187</v>
      </c>
      <c r="G22" s="1194">
        <v>185</v>
      </c>
      <c r="H22" s="2"/>
      <c r="I22" s="2"/>
      <c r="J22" s="2"/>
    </row>
    <row r="23" spans="1:10" ht="18.75" customHeight="1">
      <c r="A23" s="1179" t="s">
        <v>176</v>
      </c>
      <c r="B23" s="1191">
        <f>'[1]Republic'!$G$39+'[1]Republic'!$G$55</f>
        <v>114476</v>
      </c>
      <c r="C23" s="1191">
        <f>'[1]Republic'!$H$39+'[1]Republic'!$H$55</f>
        <v>120132</v>
      </c>
      <c r="D23" s="1191">
        <f>'[1]Republic'!$I$39+'[1]Republic'!$I$55</f>
        <v>125081</v>
      </c>
      <c r="E23" s="1191">
        <f>116706+9573</f>
        <v>126279</v>
      </c>
      <c r="F23" s="1191">
        <f>116503+8495</f>
        <v>124998</v>
      </c>
      <c r="G23" s="1243">
        <v>124259</v>
      </c>
      <c r="H23" s="2"/>
      <c r="I23" s="2"/>
      <c r="J23" s="2"/>
    </row>
    <row r="24" spans="1:10" ht="18.75" customHeight="1">
      <c r="A24" s="1179" t="s">
        <v>324</v>
      </c>
      <c r="B24" s="1191">
        <f>6396+578</f>
        <v>6974</v>
      </c>
      <c r="C24" s="1191">
        <f>6785+648</f>
        <v>7433</v>
      </c>
      <c r="D24" s="1191">
        <f>7079+682</f>
        <v>7761</v>
      </c>
      <c r="E24" s="1191">
        <f>7423+701</f>
        <v>8124</v>
      </c>
      <c r="F24" s="1191">
        <f>7408+645</f>
        <v>8053</v>
      </c>
      <c r="G24" s="1191">
        <v>8186</v>
      </c>
      <c r="H24" s="2"/>
      <c r="I24" s="2"/>
      <c r="J24" s="2"/>
    </row>
    <row r="25" spans="1:10" ht="18.75" customHeight="1">
      <c r="A25" s="1179" t="s">
        <v>338</v>
      </c>
      <c r="B25" s="1192">
        <v>71</v>
      </c>
      <c r="C25" s="1192">
        <v>73</v>
      </c>
      <c r="D25" s="1192">
        <v>75</v>
      </c>
      <c r="E25" s="1192">
        <v>74</v>
      </c>
      <c r="F25" s="1198">
        <f>F23/169978*100</f>
        <v>73.53775194436926</v>
      </c>
      <c r="G25" s="1245">
        <v>73</v>
      </c>
      <c r="H25" s="2"/>
      <c r="I25" s="2"/>
      <c r="J25" s="2"/>
    </row>
    <row r="26" spans="1:10" ht="18.75" customHeight="1">
      <c r="A26" s="1181" t="s">
        <v>325</v>
      </c>
      <c r="B26" s="1199">
        <f>B23/B24</f>
        <v>16.414683108689417</v>
      </c>
      <c r="C26" s="1199">
        <f>C23/C24</f>
        <v>16.16198035786358</v>
      </c>
      <c r="D26" s="1199">
        <f>D23/D24</f>
        <v>16.11660868444788</v>
      </c>
      <c r="E26" s="1199">
        <f>E23/E24</f>
        <v>15.543943870014772</v>
      </c>
      <c r="F26" s="1199">
        <f>F23/F24</f>
        <v>15.521917297901403</v>
      </c>
      <c r="G26" s="1246">
        <v>15</v>
      </c>
      <c r="H26" s="2"/>
      <c r="I26" s="2"/>
      <c r="J26" s="2"/>
    </row>
    <row r="27" spans="1:10" ht="17.25" customHeight="1">
      <c r="A27" s="1179" t="s">
        <v>340</v>
      </c>
      <c r="B27" s="1192">
        <v>77.5</v>
      </c>
      <c r="C27" s="1192">
        <v>78.4</v>
      </c>
      <c r="D27" s="1192">
        <v>78.9</v>
      </c>
      <c r="E27" s="1192">
        <v>76.7</v>
      </c>
      <c r="F27" s="1192">
        <v>76.5</v>
      </c>
      <c r="G27" s="1192" t="s">
        <v>327</v>
      </c>
      <c r="H27" s="2"/>
      <c r="I27" s="2"/>
      <c r="J27" s="2"/>
    </row>
    <row r="28" spans="1:10" ht="18.75" customHeight="1">
      <c r="A28" s="1180" t="s">
        <v>341</v>
      </c>
      <c r="B28" s="1193">
        <v>76.2</v>
      </c>
      <c r="C28" s="1193">
        <v>78.2</v>
      </c>
      <c r="D28" s="1193">
        <v>79.3</v>
      </c>
      <c r="E28" s="1193">
        <v>77.8</v>
      </c>
      <c r="F28" s="1193">
        <v>78.7</v>
      </c>
      <c r="G28" s="1193" t="s">
        <v>327</v>
      </c>
      <c r="H28" s="2"/>
      <c r="I28" s="2"/>
      <c r="J28" s="2"/>
    </row>
    <row r="29" spans="1:10" ht="15.75" customHeight="1">
      <c r="A29" s="2"/>
      <c r="B29" s="1"/>
      <c r="C29" s="1"/>
      <c r="D29" s="1"/>
      <c r="E29" s="1"/>
      <c r="F29" s="1"/>
      <c r="G29" s="1"/>
      <c r="H29" s="2"/>
      <c r="I29" s="2"/>
      <c r="J29" s="2"/>
    </row>
    <row r="30" spans="1:10" ht="17.25">
      <c r="A30" s="12" t="s">
        <v>350</v>
      </c>
      <c r="B30" s="1"/>
      <c r="C30" s="1"/>
      <c r="D30" s="1"/>
      <c r="E30" s="1"/>
      <c r="F30" s="1"/>
      <c r="G30" s="1"/>
      <c r="H30" s="2"/>
      <c r="I30" s="2"/>
      <c r="J30" s="2"/>
    </row>
    <row r="31" spans="1:10" ht="18.75" customHeight="1">
      <c r="A31" s="1178" t="s">
        <v>176</v>
      </c>
      <c r="B31" s="1190">
        <v>26074</v>
      </c>
      <c r="C31" s="1190">
        <v>28864</v>
      </c>
      <c r="D31" s="1190">
        <v>33230</v>
      </c>
      <c r="E31" s="1190">
        <v>35023</v>
      </c>
      <c r="F31" s="1190">
        <v>38623</v>
      </c>
      <c r="G31" s="1197" t="s">
        <v>327</v>
      </c>
      <c r="H31" s="2"/>
      <c r="I31" s="2"/>
      <c r="J31" s="2"/>
    </row>
    <row r="32" spans="1:10" ht="18.75" customHeight="1">
      <c r="A32" s="1180" t="s">
        <v>338</v>
      </c>
      <c r="B32" s="1200">
        <v>24</v>
      </c>
      <c r="C32" s="1200">
        <v>28</v>
      </c>
      <c r="D32" s="1200">
        <v>34</v>
      </c>
      <c r="E32" s="1200">
        <v>37</v>
      </c>
      <c r="F32" s="1201">
        <v>41</v>
      </c>
      <c r="G32" s="1201" t="s">
        <v>327</v>
      </c>
      <c r="H32" s="2"/>
      <c r="I32" s="2"/>
      <c r="J32" s="2"/>
    </row>
    <row r="33" spans="1:10" ht="15.75" customHeight="1">
      <c r="A33" s="1183" t="s">
        <v>351</v>
      </c>
      <c r="B33" s="1"/>
      <c r="C33" s="1"/>
      <c r="D33" s="1"/>
      <c r="E33" s="1"/>
      <c r="F33" s="1"/>
      <c r="G33" s="1"/>
      <c r="H33" s="2"/>
      <c r="I33" s="2"/>
      <c r="J33" s="2"/>
    </row>
    <row r="34" spans="1:10" ht="12" customHeight="1">
      <c r="A34" s="2"/>
      <c r="B34" s="1"/>
      <c r="C34" s="1"/>
      <c r="D34" s="1"/>
      <c r="E34" s="1"/>
      <c r="F34" s="1"/>
      <c r="G34" s="1"/>
      <c r="H34" s="2"/>
      <c r="I34" s="2"/>
      <c r="J34" s="2"/>
    </row>
    <row r="35" spans="1:10" ht="15">
      <c r="A35" s="12" t="s">
        <v>329</v>
      </c>
      <c r="B35" s="1"/>
      <c r="C35" s="1"/>
      <c r="D35" s="1"/>
      <c r="E35" s="1"/>
      <c r="F35" s="1"/>
      <c r="G35" s="1"/>
      <c r="H35" s="2"/>
      <c r="I35" s="2"/>
      <c r="J35" s="2"/>
    </row>
    <row r="36" spans="1:10" ht="25.5" customHeight="1">
      <c r="A36" s="1185" t="s">
        <v>342</v>
      </c>
      <c r="B36" s="1202">
        <v>45307.8</v>
      </c>
      <c r="C36" s="1202">
        <v>48394</v>
      </c>
      <c r="D36" s="1202">
        <v>53609.9</v>
      </c>
      <c r="E36" s="1202">
        <v>56315</v>
      </c>
      <c r="F36" s="1202">
        <v>61544</v>
      </c>
      <c r="G36" s="1249">
        <v>74800</v>
      </c>
      <c r="H36" s="2"/>
      <c r="I36" s="2"/>
      <c r="J36" s="2"/>
    </row>
    <row r="37" spans="1:10" ht="29.25" customHeight="1">
      <c r="A37" s="1187" t="s">
        <v>343</v>
      </c>
      <c r="B37" s="1203">
        <v>6227.7</v>
      </c>
      <c r="C37" s="1203">
        <v>6819.8</v>
      </c>
      <c r="D37" s="1203">
        <v>6970.3</v>
      </c>
      <c r="E37" s="1203">
        <v>7099.3</v>
      </c>
      <c r="F37" s="1203">
        <v>7817.3</v>
      </c>
      <c r="G37" s="1250">
        <v>8510.1</v>
      </c>
      <c r="H37" s="2"/>
      <c r="I37" s="2"/>
      <c r="J37" s="2"/>
    </row>
    <row r="38" spans="1:10" ht="30">
      <c r="A38" s="1186" t="s">
        <v>330</v>
      </c>
      <c r="B38" s="1204">
        <v>3.8</v>
      </c>
      <c r="C38" s="1204">
        <v>3.8</v>
      </c>
      <c r="D38" s="1204">
        <v>3.6</v>
      </c>
      <c r="E38" s="1204">
        <v>3.2</v>
      </c>
      <c r="F38" s="1204">
        <v>3.2</v>
      </c>
      <c r="G38" s="1251">
        <v>3.2</v>
      </c>
      <c r="H38" s="2"/>
      <c r="I38" s="2"/>
      <c r="J38" s="2"/>
    </row>
    <row r="39" spans="1:10" ht="31.5" customHeight="1">
      <c r="A39" s="1184" t="s">
        <v>331</v>
      </c>
      <c r="B39" s="1193">
        <v>13.7</v>
      </c>
      <c r="C39" s="1193">
        <v>14.1</v>
      </c>
      <c r="D39" s="1196">
        <v>13</v>
      </c>
      <c r="E39" s="1193">
        <v>12.6</v>
      </c>
      <c r="F39" s="1193">
        <v>12.7</v>
      </c>
      <c r="G39" s="1201">
        <v>11.4</v>
      </c>
      <c r="H39" s="2"/>
      <c r="I39" s="2"/>
      <c r="J39" s="2"/>
    </row>
    <row r="40" spans="1:10" ht="18.75" customHeight="1">
      <c r="A40" s="385" t="s">
        <v>332</v>
      </c>
      <c r="B40" s="1"/>
      <c r="C40" s="1"/>
      <c r="D40" s="1"/>
      <c r="E40" s="1"/>
      <c r="F40" s="1"/>
      <c r="G40" s="1"/>
      <c r="H40" s="2"/>
      <c r="I40" s="2"/>
      <c r="J40" s="2"/>
    </row>
    <row r="41" spans="1:10" ht="15">
      <c r="A41" s="2"/>
      <c r="B41" s="1"/>
      <c r="C41" s="1"/>
      <c r="D41" s="1"/>
      <c r="E41" s="1"/>
      <c r="F41" s="1"/>
      <c r="G41" s="1"/>
      <c r="H41" s="2"/>
      <c r="I41" s="2"/>
      <c r="J41" s="2"/>
    </row>
    <row r="42" spans="1:10" ht="15">
      <c r="A42" s="2"/>
      <c r="B42" s="1"/>
      <c r="C42" s="1"/>
      <c r="D42" s="1"/>
      <c r="E42" s="1"/>
      <c r="F42" s="1"/>
      <c r="G42" s="1"/>
      <c r="H42" s="2"/>
      <c r="I42" s="2"/>
      <c r="J42" s="2"/>
    </row>
    <row r="43" spans="1:10" ht="15">
      <c r="A43" s="2"/>
      <c r="B43" s="1"/>
      <c r="C43" s="1"/>
      <c r="D43" s="1"/>
      <c r="E43" s="1"/>
      <c r="F43" s="1"/>
      <c r="G43" s="1"/>
      <c r="H43" s="2"/>
      <c r="I43" s="2"/>
      <c r="J43" s="2"/>
    </row>
    <row r="44" spans="1:10" ht="15">
      <c r="A44" s="2"/>
      <c r="B44" s="1"/>
      <c r="C44" s="1"/>
      <c r="D44" s="1"/>
      <c r="E44" s="1"/>
      <c r="F44" s="1"/>
      <c r="G44" s="1"/>
      <c r="H44" s="2"/>
      <c r="I44" s="2"/>
      <c r="J44" s="2"/>
    </row>
    <row r="45" spans="1:10" ht="15">
      <c r="A45" s="2"/>
      <c r="B45" s="1"/>
      <c r="C45" s="1"/>
      <c r="D45" s="1"/>
      <c r="E45" s="1"/>
      <c r="F45" s="1"/>
      <c r="G45" s="1"/>
      <c r="H45" s="2"/>
      <c r="I45" s="2"/>
      <c r="J45" s="2"/>
    </row>
    <row r="46" spans="1:10" ht="15">
      <c r="A46" s="2"/>
      <c r="B46" s="1"/>
      <c r="C46" s="1"/>
      <c r="D46" s="1"/>
      <c r="E46" s="1"/>
      <c r="F46" s="1"/>
      <c r="G46" s="1"/>
      <c r="H46" s="2"/>
      <c r="I46" s="2"/>
      <c r="J46" s="2"/>
    </row>
    <row r="47" spans="1:10" ht="15">
      <c r="A47" s="2"/>
      <c r="B47" s="1"/>
      <c r="C47" s="1"/>
      <c r="D47" s="1"/>
      <c r="E47" s="1"/>
      <c r="F47" s="1"/>
      <c r="G47" s="1"/>
      <c r="H47" s="2"/>
      <c r="I47" s="2"/>
      <c r="J47" s="2"/>
    </row>
    <row r="48" spans="1:10" ht="15">
      <c r="A48" s="2"/>
      <c r="B48" s="1"/>
      <c r="C48" s="1"/>
      <c r="D48" s="1"/>
      <c r="E48" s="1"/>
      <c r="F48" s="1"/>
      <c r="G48" s="1"/>
      <c r="H48" s="2"/>
      <c r="I48" s="2"/>
      <c r="J48" s="2"/>
    </row>
    <row r="49" spans="1:10" ht="15">
      <c r="A49" s="2"/>
      <c r="B49" s="1"/>
      <c r="C49" s="1"/>
      <c r="D49" s="1"/>
      <c r="E49" s="1"/>
      <c r="F49" s="1"/>
      <c r="G49" s="1"/>
      <c r="H49" s="2"/>
      <c r="I49" s="2"/>
      <c r="J49" s="2"/>
    </row>
    <row r="50" spans="1:10" ht="15">
      <c r="A50" s="2"/>
      <c r="B50" s="1"/>
      <c r="C50" s="1"/>
      <c r="D50" s="1"/>
      <c r="E50" s="1"/>
      <c r="F50" s="1"/>
      <c r="G50" s="1"/>
      <c r="H50" s="2"/>
      <c r="I50" s="2"/>
      <c r="J50" s="2"/>
    </row>
    <row r="51" spans="1:10" ht="15">
      <c r="A51" s="2"/>
      <c r="B51" s="1"/>
      <c r="C51" s="1"/>
      <c r="D51" s="1"/>
      <c r="E51" s="1"/>
      <c r="F51" s="1"/>
      <c r="G51" s="1"/>
      <c r="H51" s="2"/>
      <c r="I51" s="2"/>
      <c r="J51" s="2"/>
    </row>
    <row r="52" spans="1:10" ht="15">
      <c r="A52" s="2"/>
      <c r="B52" s="1"/>
      <c r="C52" s="1"/>
      <c r="D52" s="1"/>
      <c r="E52" s="1"/>
      <c r="F52" s="1"/>
      <c r="G52" s="1"/>
      <c r="H52" s="2"/>
      <c r="I52" s="2"/>
      <c r="J52" s="2"/>
    </row>
    <row r="53" spans="1:10" ht="15">
      <c r="A53" s="2"/>
      <c r="B53" s="1"/>
      <c r="C53" s="1"/>
      <c r="D53" s="1"/>
      <c r="E53" s="1"/>
      <c r="F53" s="1"/>
      <c r="G53" s="1"/>
      <c r="H53" s="2"/>
      <c r="I53" s="2"/>
      <c r="J53" s="2"/>
    </row>
    <row r="54" spans="1:10" ht="15">
      <c r="A54" s="2"/>
      <c r="B54" s="1"/>
      <c r="C54" s="1"/>
      <c r="D54" s="1"/>
      <c r="E54" s="1"/>
      <c r="F54" s="1"/>
      <c r="G54" s="1"/>
      <c r="H54" s="2"/>
      <c r="I54" s="2"/>
      <c r="J54" s="2"/>
    </row>
    <row r="55" spans="1:10" ht="15">
      <c r="A55" s="2"/>
      <c r="B55" s="1"/>
      <c r="C55" s="1"/>
      <c r="D55" s="1"/>
      <c r="E55" s="1"/>
      <c r="F55" s="1"/>
      <c r="G55" s="1"/>
      <c r="H55" s="2"/>
      <c r="I55" s="2"/>
      <c r="J55" s="2"/>
    </row>
    <row r="56" spans="1:10" ht="15">
      <c r="A56" s="2"/>
      <c r="B56" s="1"/>
      <c r="C56" s="1"/>
      <c r="D56" s="1"/>
      <c r="E56" s="1"/>
      <c r="F56" s="1"/>
      <c r="G56" s="1"/>
      <c r="H56" s="2"/>
      <c r="I56" s="2"/>
      <c r="J56" s="2"/>
    </row>
    <row r="57" spans="1:10" ht="15">
      <c r="A57" s="2"/>
      <c r="B57" s="1"/>
      <c r="C57" s="1"/>
      <c r="D57" s="1"/>
      <c r="E57" s="1"/>
      <c r="F57" s="1"/>
      <c r="G57" s="1"/>
      <c r="H57" s="2"/>
      <c r="I57" s="2"/>
      <c r="J57" s="2"/>
    </row>
    <row r="58" spans="1:10" ht="15">
      <c r="A58" s="2"/>
      <c r="B58" s="1"/>
      <c r="C58" s="1"/>
      <c r="D58" s="1"/>
      <c r="E58" s="1"/>
      <c r="F58" s="1"/>
      <c r="G58" s="1"/>
      <c r="H58" s="2"/>
      <c r="I58" s="2"/>
      <c r="J58" s="2"/>
    </row>
    <row r="59" spans="1:10" ht="15">
      <c r="A59" s="2"/>
      <c r="B59" s="1"/>
      <c r="C59" s="1"/>
      <c r="D59" s="1"/>
      <c r="E59" s="1"/>
      <c r="F59" s="1"/>
      <c r="G59" s="1"/>
      <c r="H59" s="2"/>
      <c r="I59" s="2"/>
      <c r="J59" s="2"/>
    </row>
    <row r="60" spans="1:10" ht="15">
      <c r="A60" s="2"/>
      <c r="B60" s="1"/>
      <c r="C60" s="1"/>
      <c r="D60" s="1"/>
      <c r="E60" s="1"/>
      <c r="F60" s="1"/>
      <c r="G60" s="1"/>
      <c r="H60" s="2"/>
      <c r="I60" s="2"/>
      <c r="J60" s="2"/>
    </row>
    <row r="61" spans="1:10" ht="15">
      <c r="A61" s="2"/>
      <c r="B61" s="1"/>
      <c r="C61" s="1"/>
      <c r="D61" s="1"/>
      <c r="E61" s="1"/>
      <c r="F61" s="1"/>
      <c r="G61" s="1"/>
      <c r="H61" s="2"/>
      <c r="I61" s="2"/>
      <c r="J61" s="2"/>
    </row>
    <row r="62" spans="1:10" ht="15">
      <c r="A62" s="2"/>
      <c r="B62" s="1"/>
      <c r="C62" s="1"/>
      <c r="D62" s="1"/>
      <c r="E62" s="1"/>
      <c r="F62" s="1"/>
      <c r="G62" s="1"/>
      <c r="H62" s="2"/>
      <c r="I62" s="2"/>
      <c r="J62" s="2"/>
    </row>
    <row r="63" spans="1:10" ht="15">
      <c r="A63" s="2"/>
      <c r="B63" s="1"/>
      <c r="C63" s="1"/>
      <c r="D63" s="1"/>
      <c r="E63" s="1"/>
      <c r="F63" s="1"/>
      <c r="G63" s="1"/>
      <c r="H63" s="2"/>
      <c r="I63" s="2"/>
      <c r="J63" s="2"/>
    </row>
    <row r="64" spans="1:10" ht="15">
      <c r="A64" s="2"/>
      <c r="B64" s="1"/>
      <c r="C64" s="1"/>
      <c r="D64" s="1"/>
      <c r="E64" s="1"/>
      <c r="F64" s="1"/>
      <c r="G64" s="1"/>
      <c r="H64" s="2"/>
      <c r="I64" s="2"/>
      <c r="J64" s="2"/>
    </row>
    <row r="65" spans="1:10" ht="15">
      <c r="A65" s="2"/>
      <c r="B65" s="1"/>
      <c r="C65" s="1"/>
      <c r="D65" s="1"/>
      <c r="E65" s="1"/>
      <c r="F65" s="1"/>
      <c r="G65" s="1"/>
      <c r="H65" s="2"/>
      <c r="I65" s="2"/>
      <c r="J65" s="2"/>
    </row>
    <row r="66" spans="1:10" ht="15">
      <c r="A66" s="2"/>
      <c r="B66" s="1"/>
      <c r="C66" s="1"/>
      <c r="D66" s="1"/>
      <c r="E66" s="1"/>
      <c r="F66" s="1"/>
      <c r="G66" s="1"/>
      <c r="H66" s="2"/>
      <c r="I66" s="2"/>
      <c r="J66" s="2"/>
    </row>
    <row r="67" spans="1:10" ht="15">
      <c r="A67" s="2"/>
      <c r="B67" s="1"/>
      <c r="C67" s="1"/>
      <c r="D67" s="1"/>
      <c r="E67" s="1"/>
      <c r="F67" s="1"/>
      <c r="G67" s="1"/>
      <c r="H67" s="2"/>
      <c r="I67" s="2"/>
      <c r="J67" s="2"/>
    </row>
    <row r="68" spans="1:10" ht="15">
      <c r="A68" s="2"/>
      <c r="B68" s="1"/>
      <c r="C68" s="1"/>
      <c r="D68" s="1"/>
      <c r="E68" s="1"/>
      <c r="F68" s="1"/>
      <c r="G68" s="1"/>
      <c r="H68" s="2"/>
      <c r="I68" s="2"/>
      <c r="J68" s="2"/>
    </row>
    <row r="69" spans="1:10" ht="15">
      <c r="A69" s="2"/>
      <c r="B69" s="1"/>
      <c r="C69" s="1"/>
      <c r="D69" s="1"/>
      <c r="E69" s="1"/>
      <c r="F69" s="1"/>
      <c r="G69" s="1"/>
      <c r="H69" s="2"/>
      <c r="I69" s="2"/>
      <c r="J69" s="2"/>
    </row>
    <row r="70" spans="1:10" ht="15">
      <c r="A70" s="2"/>
      <c r="B70" s="1"/>
      <c r="C70" s="1"/>
      <c r="D70" s="1"/>
      <c r="E70" s="1"/>
      <c r="F70" s="1"/>
      <c r="G70" s="1"/>
      <c r="H70" s="2"/>
      <c r="I70" s="2"/>
      <c r="J70" s="2"/>
    </row>
    <row r="71" spans="1:10" ht="15">
      <c r="A71" s="2"/>
      <c r="B71" s="1"/>
      <c r="C71" s="1"/>
      <c r="D71" s="1"/>
      <c r="E71" s="1"/>
      <c r="F71" s="1"/>
      <c r="G71" s="1"/>
      <c r="H71" s="2"/>
      <c r="I71" s="2"/>
      <c r="J71" s="2"/>
    </row>
    <row r="72" spans="1:10" ht="15">
      <c r="A72" s="2"/>
      <c r="B72" s="1"/>
      <c r="C72" s="1"/>
      <c r="D72" s="1"/>
      <c r="E72" s="1"/>
      <c r="F72" s="1"/>
      <c r="G72" s="1"/>
      <c r="H72" s="2"/>
      <c r="I72" s="2"/>
      <c r="J72" s="2"/>
    </row>
    <row r="73" spans="1:10" ht="15">
      <c r="A73" s="2"/>
      <c r="B73" s="1"/>
      <c r="C73" s="1"/>
      <c r="D73" s="1"/>
      <c r="E73" s="1"/>
      <c r="F73" s="1"/>
      <c r="G73" s="1"/>
      <c r="H73" s="2"/>
      <c r="I73" s="2"/>
      <c r="J73" s="2"/>
    </row>
    <row r="74" spans="1:10" ht="15">
      <c r="A74" s="2"/>
      <c r="B74" s="1"/>
      <c r="C74" s="1"/>
      <c r="D74" s="1"/>
      <c r="E74" s="1"/>
      <c r="F74" s="1"/>
      <c r="G74" s="1"/>
      <c r="H74" s="2"/>
      <c r="I74" s="2"/>
      <c r="J74" s="2"/>
    </row>
    <row r="75" spans="1:10" ht="15">
      <c r="A75" s="2"/>
      <c r="B75" s="1"/>
      <c r="C75" s="1"/>
      <c r="D75" s="1"/>
      <c r="E75" s="1"/>
      <c r="F75" s="1"/>
      <c r="G75" s="1"/>
      <c r="H75" s="2"/>
      <c r="I75" s="2"/>
      <c r="J75" s="2"/>
    </row>
    <row r="76" spans="1:10" ht="15">
      <c r="A76" s="2"/>
      <c r="B76" s="1"/>
      <c r="C76" s="1"/>
      <c r="D76" s="1"/>
      <c r="E76" s="1"/>
      <c r="F76" s="1"/>
      <c r="G76" s="1"/>
      <c r="H76" s="2"/>
      <c r="I76" s="2"/>
      <c r="J76" s="2"/>
    </row>
    <row r="77" spans="1:10" ht="15">
      <c r="A77" s="2"/>
      <c r="B77" s="1"/>
      <c r="C77" s="1"/>
      <c r="D77" s="1"/>
      <c r="E77" s="1"/>
      <c r="F77" s="1"/>
      <c r="G77" s="1"/>
      <c r="H77" s="2"/>
      <c r="I77" s="2"/>
      <c r="J77" s="2"/>
    </row>
    <row r="78" spans="1:10" ht="15">
      <c r="A78" s="2"/>
      <c r="B78" s="1"/>
      <c r="C78" s="1"/>
      <c r="D78" s="1"/>
      <c r="E78" s="1"/>
      <c r="F78" s="1"/>
      <c r="G78" s="1"/>
      <c r="H78" s="2"/>
      <c r="I78" s="2"/>
      <c r="J78" s="2"/>
    </row>
    <row r="79" spans="1:10" ht="15">
      <c r="A79" s="2"/>
      <c r="B79" s="1"/>
      <c r="C79" s="1"/>
      <c r="D79" s="1"/>
      <c r="E79" s="1"/>
      <c r="F79" s="1"/>
      <c r="G79" s="1"/>
      <c r="H79" s="2"/>
      <c r="I79" s="2"/>
      <c r="J79" s="2"/>
    </row>
    <row r="80" spans="1:10" ht="15">
      <c r="A80" s="2"/>
      <c r="B80" s="1"/>
      <c r="C80" s="1"/>
      <c r="D80" s="1"/>
      <c r="E80" s="1"/>
      <c r="F80" s="1"/>
      <c r="G80" s="1"/>
      <c r="H80" s="2"/>
      <c r="I80" s="2"/>
      <c r="J80" s="2"/>
    </row>
  </sheetData>
  <sheetProtection/>
  <printOptions/>
  <pageMargins left="0.75" right="0.25" top="0.5" bottom="0.25" header="0.31" footer="0.24"/>
  <pageSetup horizontalDpi="300" verticalDpi="300" orientation="portrait" paperSize="9" r:id="rId1"/>
  <headerFooter alignWithMargins="0">
    <oddHeader>&amp;C- 7 -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N30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5" sqref="D5:E13"/>
    </sheetView>
  </sheetViews>
  <sheetFormatPr defaultColWidth="9.140625" defaultRowHeight="12.75"/>
  <cols>
    <col min="1" max="1" width="24.57421875" style="485" customWidth="1"/>
    <col min="2" max="2" width="2.00390625" style="485" customWidth="1"/>
    <col min="3" max="4" width="8.57421875" style="548" customWidth="1"/>
    <col min="5" max="5" width="8.28125" style="548" customWidth="1"/>
    <col min="6" max="6" width="8.421875" style="548" customWidth="1"/>
    <col min="7" max="7" width="8.140625" style="548" customWidth="1"/>
    <col min="8" max="9" width="8.421875" style="548" customWidth="1"/>
    <col min="10" max="10" width="8.140625" style="548" customWidth="1"/>
    <col min="11" max="11" width="8.00390625" style="485" customWidth="1"/>
    <col min="41" max="16384" width="9.140625" style="485" customWidth="1"/>
  </cols>
  <sheetData>
    <row r="1" spans="1:40" s="483" customFormat="1" ht="26.25" customHeight="1">
      <c r="A1" s="483" t="s">
        <v>419</v>
      </c>
      <c r="C1" s="547"/>
      <c r="D1" s="547"/>
      <c r="E1" s="547"/>
      <c r="F1" s="547"/>
      <c r="G1" s="547"/>
      <c r="H1" s="547"/>
      <c r="I1" s="547"/>
      <c r="J1" s="547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84"/>
      <c r="AI1" s="484"/>
      <c r="AJ1" s="484"/>
      <c r="AK1" s="484"/>
      <c r="AL1" s="484"/>
      <c r="AM1" s="484"/>
      <c r="AN1" s="484"/>
    </row>
    <row r="2" ht="17.25" customHeight="1"/>
    <row r="3" spans="1:40" s="491" customFormat="1" ht="28.5" customHeight="1">
      <c r="A3" s="1326" t="s">
        <v>16</v>
      </c>
      <c r="B3" s="1328"/>
      <c r="C3" s="1441" t="s">
        <v>78</v>
      </c>
      <c r="D3" s="1442"/>
      <c r="E3" s="1443"/>
      <c r="F3" s="1441" t="s">
        <v>174</v>
      </c>
      <c r="G3" s="1442"/>
      <c r="H3" s="1443"/>
      <c r="I3" s="1441" t="s">
        <v>175</v>
      </c>
      <c r="J3" s="1442"/>
      <c r="K3" s="1443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  <c r="W3" s="490"/>
      <c r="X3" s="490"/>
      <c r="Y3" s="490"/>
      <c r="Z3" s="490"/>
      <c r="AA3" s="490"/>
      <c r="AB3" s="490"/>
      <c r="AC3" s="490"/>
      <c r="AD3" s="490"/>
      <c r="AE3" s="490"/>
      <c r="AF3" s="490"/>
      <c r="AG3" s="490"/>
      <c r="AH3" s="490"/>
      <c r="AI3" s="490"/>
      <c r="AJ3" s="490"/>
      <c r="AK3" s="490"/>
      <c r="AL3" s="490"/>
      <c r="AM3" s="490"/>
      <c r="AN3" s="490"/>
    </row>
    <row r="4" spans="1:40" s="491" customFormat="1" ht="27.75" customHeight="1">
      <c r="A4" s="1332"/>
      <c r="B4" s="1334"/>
      <c r="C4" s="549" t="s">
        <v>5</v>
      </c>
      <c r="D4" s="551" t="s">
        <v>43</v>
      </c>
      <c r="E4" s="552" t="s">
        <v>44</v>
      </c>
      <c r="F4" s="549" t="s">
        <v>5</v>
      </c>
      <c r="G4" s="551" t="s">
        <v>43</v>
      </c>
      <c r="H4" s="550" t="s">
        <v>44</v>
      </c>
      <c r="I4" s="549" t="s">
        <v>5</v>
      </c>
      <c r="J4" s="551" t="s">
        <v>43</v>
      </c>
      <c r="K4" s="550" t="s">
        <v>44</v>
      </c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490"/>
      <c r="X4" s="490"/>
      <c r="Y4" s="490"/>
      <c r="Z4" s="490"/>
      <c r="AA4" s="490"/>
      <c r="AB4" s="490"/>
      <c r="AC4" s="490"/>
      <c r="AD4" s="490"/>
      <c r="AE4" s="490"/>
      <c r="AF4" s="490"/>
      <c r="AG4" s="490"/>
      <c r="AH4" s="490"/>
      <c r="AI4" s="490"/>
      <c r="AJ4" s="490"/>
      <c r="AK4" s="490"/>
      <c r="AL4" s="490"/>
      <c r="AM4" s="490"/>
      <c r="AN4" s="490"/>
    </row>
    <row r="5" spans="1:40" s="491" customFormat="1" ht="24.75" customHeight="1">
      <c r="A5" s="506" t="s">
        <v>59</v>
      </c>
      <c r="B5" s="497"/>
      <c r="C5" s="679">
        <f>F5+I5</f>
        <v>1070</v>
      </c>
      <c r="D5" s="680">
        <f>G5+J5</f>
        <v>596</v>
      </c>
      <c r="E5" s="681">
        <f>H5+K5</f>
        <v>474</v>
      </c>
      <c r="F5" s="679">
        <f>G5+H5</f>
        <v>277</v>
      </c>
      <c r="G5" s="682">
        <v>147</v>
      </c>
      <c r="H5" s="681">
        <v>130</v>
      </c>
      <c r="I5" s="679">
        <f>J5+K5</f>
        <v>793</v>
      </c>
      <c r="J5" s="682">
        <v>449</v>
      </c>
      <c r="K5" s="683">
        <v>344</v>
      </c>
      <c r="L5" s="490"/>
      <c r="M5" s="512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  <c r="AH5" s="490"/>
      <c r="AI5" s="490"/>
      <c r="AJ5" s="490"/>
      <c r="AK5" s="490"/>
      <c r="AL5" s="490"/>
      <c r="AM5" s="490"/>
      <c r="AN5" s="490"/>
    </row>
    <row r="6" spans="1:40" s="491" customFormat="1" ht="24.75" customHeight="1">
      <c r="A6" s="506" t="s">
        <v>60</v>
      </c>
      <c r="B6" s="497"/>
      <c r="C6" s="679">
        <f aca="true" t="shared" si="0" ref="C6:C13">F6+I6</f>
        <v>788</v>
      </c>
      <c r="D6" s="682">
        <f aca="true" t="shared" si="1" ref="D6:D13">G6+J6</f>
        <v>498</v>
      </c>
      <c r="E6" s="681">
        <f aca="true" t="shared" si="2" ref="E6:E13">H6+K6</f>
        <v>290</v>
      </c>
      <c r="F6" s="679">
        <f aca="true" t="shared" si="3" ref="F6:F16">G6+H6</f>
        <v>313</v>
      </c>
      <c r="G6" s="682">
        <v>246</v>
      </c>
      <c r="H6" s="681">
        <v>67</v>
      </c>
      <c r="I6" s="679">
        <f aca="true" t="shared" si="4" ref="I6:I16">J6+K6</f>
        <v>475</v>
      </c>
      <c r="J6" s="682">
        <v>252</v>
      </c>
      <c r="K6" s="683">
        <v>223</v>
      </c>
      <c r="L6" s="490"/>
      <c r="M6" s="512"/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  <c r="AK6" s="490"/>
      <c r="AL6" s="490"/>
      <c r="AM6" s="490"/>
      <c r="AN6" s="490"/>
    </row>
    <row r="7" spans="1:40" s="491" customFormat="1" ht="24.75" customHeight="1">
      <c r="A7" s="506" t="s">
        <v>62</v>
      </c>
      <c r="B7" s="497"/>
      <c r="C7" s="679">
        <f t="shared" si="0"/>
        <v>827</v>
      </c>
      <c r="D7" s="682">
        <f t="shared" si="1"/>
        <v>578</v>
      </c>
      <c r="E7" s="681">
        <f t="shared" si="2"/>
        <v>249</v>
      </c>
      <c r="F7" s="679">
        <f t="shared" si="3"/>
        <v>370</v>
      </c>
      <c r="G7" s="682">
        <v>286</v>
      </c>
      <c r="H7" s="681">
        <v>84</v>
      </c>
      <c r="I7" s="679">
        <f t="shared" si="4"/>
        <v>457</v>
      </c>
      <c r="J7" s="682">
        <v>292</v>
      </c>
      <c r="K7" s="683">
        <v>165</v>
      </c>
      <c r="L7" s="490"/>
      <c r="M7" s="512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90"/>
      <c r="AH7" s="490"/>
      <c r="AI7" s="490"/>
      <c r="AJ7" s="490"/>
      <c r="AK7" s="490"/>
      <c r="AL7" s="490"/>
      <c r="AM7" s="490"/>
      <c r="AN7" s="490"/>
    </row>
    <row r="8" spans="1:40" s="491" customFormat="1" ht="24.75" customHeight="1">
      <c r="A8" s="506" t="s">
        <v>63</v>
      </c>
      <c r="B8" s="497"/>
      <c r="C8" s="679">
        <f t="shared" si="0"/>
        <v>902</v>
      </c>
      <c r="D8" s="682">
        <f t="shared" si="1"/>
        <v>618</v>
      </c>
      <c r="E8" s="681">
        <f t="shared" si="2"/>
        <v>284</v>
      </c>
      <c r="F8" s="679">
        <f t="shared" si="3"/>
        <v>276</v>
      </c>
      <c r="G8" s="682">
        <v>117</v>
      </c>
      <c r="H8" s="681">
        <v>159</v>
      </c>
      <c r="I8" s="679">
        <f t="shared" si="4"/>
        <v>626</v>
      </c>
      <c r="J8" s="682">
        <v>501</v>
      </c>
      <c r="K8" s="683">
        <v>125</v>
      </c>
      <c r="L8" s="490"/>
      <c r="M8" s="512"/>
      <c r="N8" s="490"/>
      <c r="O8" s="490"/>
      <c r="P8" s="490"/>
      <c r="Q8" s="490"/>
      <c r="R8" s="490"/>
      <c r="S8" s="490"/>
      <c r="T8" s="490"/>
      <c r="U8" s="490"/>
      <c r="V8" s="490"/>
      <c r="W8" s="490"/>
      <c r="X8" s="490"/>
      <c r="Y8" s="490"/>
      <c r="Z8" s="490"/>
      <c r="AA8" s="490"/>
      <c r="AB8" s="490"/>
      <c r="AC8" s="490"/>
      <c r="AD8" s="490"/>
      <c r="AE8" s="490"/>
      <c r="AF8" s="490"/>
      <c r="AG8" s="490"/>
      <c r="AH8" s="490"/>
      <c r="AI8" s="490"/>
      <c r="AJ8" s="490"/>
      <c r="AK8" s="490"/>
      <c r="AL8" s="490"/>
      <c r="AM8" s="490"/>
      <c r="AN8" s="490"/>
    </row>
    <row r="9" spans="1:40" s="491" customFormat="1" ht="24.75" customHeight="1">
      <c r="A9" s="506" t="s">
        <v>64</v>
      </c>
      <c r="B9" s="497"/>
      <c r="C9" s="679">
        <f t="shared" si="0"/>
        <v>671</v>
      </c>
      <c r="D9" s="682">
        <f t="shared" si="1"/>
        <v>442</v>
      </c>
      <c r="E9" s="681">
        <f t="shared" si="2"/>
        <v>229</v>
      </c>
      <c r="F9" s="679">
        <f t="shared" si="3"/>
        <v>89</v>
      </c>
      <c r="G9" s="682">
        <v>75</v>
      </c>
      <c r="H9" s="681">
        <v>14</v>
      </c>
      <c r="I9" s="679">
        <f t="shared" si="4"/>
        <v>582</v>
      </c>
      <c r="J9" s="682">
        <v>367</v>
      </c>
      <c r="K9" s="683">
        <v>215</v>
      </c>
      <c r="L9" s="490"/>
      <c r="M9" s="512"/>
      <c r="N9" s="490"/>
      <c r="O9" s="490"/>
      <c r="P9" s="490"/>
      <c r="Q9" s="490"/>
      <c r="R9" s="490"/>
      <c r="S9" s="490"/>
      <c r="T9" s="490"/>
      <c r="U9" s="490"/>
      <c r="V9" s="490"/>
      <c r="W9" s="490"/>
      <c r="X9" s="490"/>
      <c r="Y9" s="490"/>
      <c r="Z9" s="490"/>
      <c r="AA9" s="490"/>
      <c r="AB9" s="490"/>
      <c r="AC9" s="490"/>
      <c r="AD9" s="490"/>
      <c r="AE9" s="490"/>
      <c r="AF9" s="490"/>
      <c r="AG9" s="490"/>
      <c r="AH9" s="490"/>
      <c r="AI9" s="490"/>
      <c r="AJ9" s="490"/>
      <c r="AK9" s="490"/>
      <c r="AL9" s="490"/>
      <c r="AM9" s="490"/>
      <c r="AN9" s="490"/>
    </row>
    <row r="10" spans="1:40" s="491" customFormat="1" ht="24.75" customHeight="1">
      <c r="A10" s="506" t="s">
        <v>65</v>
      </c>
      <c r="B10" s="497"/>
      <c r="C10" s="679">
        <f t="shared" si="0"/>
        <v>490</v>
      </c>
      <c r="D10" s="682">
        <f t="shared" si="1"/>
        <v>333</v>
      </c>
      <c r="E10" s="681">
        <f t="shared" si="2"/>
        <v>157</v>
      </c>
      <c r="F10" s="679">
        <f t="shared" si="3"/>
        <v>87</v>
      </c>
      <c r="G10" s="682">
        <v>45</v>
      </c>
      <c r="H10" s="681">
        <v>42</v>
      </c>
      <c r="I10" s="679">
        <f t="shared" si="4"/>
        <v>403</v>
      </c>
      <c r="J10" s="682">
        <v>288</v>
      </c>
      <c r="K10" s="683">
        <v>115</v>
      </c>
      <c r="L10" s="490"/>
      <c r="M10" s="512"/>
      <c r="N10" s="490"/>
      <c r="O10" s="490"/>
      <c r="P10" s="490"/>
      <c r="Q10" s="490"/>
      <c r="R10" s="490"/>
      <c r="S10" s="490"/>
      <c r="T10" s="490"/>
      <c r="U10" s="490"/>
      <c r="V10" s="490"/>
      <c r="W10" s="490"/>
      <c r="X10" s="490"/>
      <c r="Y10" s="490"/>
      <c r="Z10" s="490"/>
      <c r="AA10" s="490"/>
      <c r="AB10" s="490"/>
      <c r="AC10" s="490"/>
      <c r="AD10" s="490"/>
      <c r="AE10" s="490"/>
      <c r="AF10" s="490"/>
      <c r="AG10" s="490"/>
      <c r="AH10" s="490"/>
      <c r="AI10" s="490"/>
      <c r="AJ10" s="490"/>
      <c r="AK10" s="490"/>
      <c r="AL10" s="490"/>
      <c r="AM10" s="490"/>
      <c r="AN10" s="490"/>
    </row>
    <row r="11" spans="1:40" s="491" customFormat="1" ht="24.75" customHeight="1">
      <c r="A11" s="506" t="s">
        <v>66</v>
      </c>
      <c r="B11" s="497"/>
      <c r="C11" s="679">
        <f t="shared" si="0"/>
        <v>2030</v>
      </c>
      <c r="D11" s="682">
        <f t="shared" si="1"/>
        <v>1347</v>
      </c>
      <c r="E11" s="681">
        <f t="shared" si="2"/>
        <v>683</v>
      </c>
      <c r="F11" s="679">
        <f t="shared" si="3"/>
        <v>555</v>
      </c>
      <c r="G11" s="682">
        <v>475</v>
      </c>
      <c r="H11" s="681">
        <v>80</v>
      </c>
      <c r="I11" s="679">
        <f t="shared" si="4"/>
        <v>1475</v>
      </c>
      <c r="J11" s="682">
        <v>872</v>
      </c>
      <c r="K11" s="683">
        <v>603</v>
      </c>
      <c r="L11" s="490"/>
      <c r="M11" s="512"/>
      <c r="N11" s="490"/>
      <c r="O11" s="490"/>
      <c r="P11" s="490"/>
      <c r="Q11" s="490"/>
      <c r="R11" s="490"/>
      <c r="S11" s="490"/>
      <c r="T11" s="490"/>
      <c r="U11" s="490"/>
      <c r="V11" s="490"/>
      <c r="W11" s="490"/>
      <c r="X11" s="490"/>
      <c r="Y11" s="490"/>
      <c r="Z11" s="490"/>
      <c r="AA11" s="490"/>
      <c r="AB11" s="490"/>
      <c r="AC11" s="490"/>
      <c r="AD11" s="490"/>
      <c r="AE11" s="490"/>
      <c r="AF11" s="490"/>
      <c r="AG11" s="490"/>
      <c r="AH11" s="490"/>
      <c r="AI11" s="490"/>
      <c r="AJ11" s="490"/>
      <c r="AK11" s="490"/>
      <c r="AL11" s="490"/>
      <c r="AM11" s="490"/>
      <c r="AN11" s="490"/>
    </row>
    <row r="12" spans="1:40" s="491" customFormat="1" ht="24.75" customHeight="1">
      <c r="A12" s="506" t="s">
        <v>67</v>
      </c>
      <c r="B12" s="497"/>
      <c r="C12" s="679">
        <f t="shared" si="0"/>
        <v>450</v>
      </c>
      <c r="D12" s="682">
        <f t="shared" si="1"/>
        <v>236</v>
      </c>
      <c r="E12" s="681">
        <f t="shared" si="2"/>
        <v>214</v>
      </c>
      <c r="F12" s="679">
        <f t="shared" si="3"/>
        <v>256</v>
      </c>
      <c r="G12" s="682">
        <v>116</v>
      </c>
      <c r="H12" s="681">
        <v>140</v>
      </c>
      <c r="I12" s="679">
        <f t="shared" si="4"/>
        <v>194</v>
      </c>
      <c r="J12" s="682">
        <v>120</v>
      </c>
      <c r="K12" s="683">
        <v>74</v>
      </c>
      <c r="L12" s="490"/>
      <c r="M12" s="512"/>
      <c r="N12" s="490"/>
      <c r="O12" s="490"/>
      <c r="P12" s="490"/>
      <c r="Q12" s="490"/>
      <c r="R12" s="490"/>
      <c r="S12" s="490"/>
      <c r="T12" s="490"/>
      <c r="U12" s="490"/>
      <c r="V12" s="490"/>
      <c r="W12" s="490"/>
      <c r="X12" s="490"/>
      <c r="Y12" s="490"/>
      <c r="Z12" s="490"/>
      <c r="AA12" s="490"/>
      <c r="AB12" s="490"/>
      <c r="AC12" s="490"/>
      <c r="AD12" s="490"/>
      <c r="AE12" s="490"/>
      <c r="AF12" s="490"/>
      <c r="AG12" s="490"/>
      <c r="AH12" s="490"/>
      <c r="AI12" s="490"/>
      <c r="AJ12" s="490"/>
      <c r="AK12" s="490"/>
      <c r="AL12" s="490"/>
      <c r="AM12" s="490"/>
      <c r="AN12" s="490"/>
    </row>
    <row r="13" spans="1:40" s="491" customFormat="1" ht="24.75" customHeight="1">
      <c r="A13" s="506" t="s">
        <v>68</v>
      </c>
      <c r="B13" s="497"/>
      <c r="C13" s="679">
        <f t="shared" si="0"/>
        <v>346</v>
      </c>
      <c r="D13" s="682">
        <f t="shared" si="1"/>
        <v>186</v>
      </c>
      <c r="E13" s="681">
        <f t="shared" si="2"/>
        <v>160</v>
      </c>
      <c r="F13" s="679">
        <f t="shared" si="3"/>
        <v>188</v>
      </c>
      <c r="G13" s="682">
        <v>98</v>
      </c>
      <c r="H13" s="681">
        <v>90</v>
      </c>
      <c r="I13" s="679">
        <f t="shared" si="4"/>
        <v>158</v>
      </c>
      <c r="J13" s="682">
        <v>88</v>
      </c>
      <c r="K13" s="683">
        <v>70</v>
      </c>
      <c r="L13" s="490"/>
      <c r="M13" s="512"/>
      <c r="N13" s="490"/>
      <c r="O13" s="490"/>
      <c r="P13" s="490"/>
      <c r="Q13" s="490"/>
      <c r="R13" s="490"/>
      <c r="S13" s="490"/>
      <c r="T13" s="490"/>
      <c r="U13" s="490"/>
      <c r="V13" s="490"/>
      <c r="W13" s="490"/>
      <c r="X13" s="490"/>
      <c r="Y13" s="490"/>
      <c r="Z13" s="490"/>
      <c r="AA13" s="490"/>
      <c r="AB13" s="490"/>
      <c r="AC13" s="490"/>
      <c r="AD13" s="490"/>
      <c r="AE13" s="490"/>
      <c r="AF13" s="490"/>
      <c r="AG13" s="490"/>
      <c r="AH13" s="490"/>
      <c r="AI13" s="490"/>
      <c r="AJ13" s="490"/>
      <c r="AK13" s="490"/>
      <c r="AL13" s="490"/>
      <c r="AM13" s="490"/>
      <c r="AN13" s="490"/>
    </row>
    <row r="14" spans="1:40" s="491" customFormat="1" ht="24.75" customHeight="1">
      <c r="A14" s="486" t="s">
        <v>69</v>
      </c>
      <c r="B14" s="487"/>
      <c r="C14" s="684">
        <f aca="true" t="shared" si="5" ref="C14:E16">F14+I14</f>
        <v>7574</v>
      </c>
      <c r="D14" s="680">
        <f t="shared" si="5"/>
        <v>4834</v>
      </c>
      <c r="E14" s="685">
        <f t="shared" si="5"/>
        <v>2740</v>
      </c>
      <c r="F14" s="684">
        <f t="shared" si="3"/>
        <v>2411</v>
      </c>
      <c r="G14" s="680">
        <f>SUM(G5:G13)</f>
        <v>1605</v>
      </c>
      <c r="H14" s="685">
        <f>SUM(H5:H13)</f>
        <v>806</v>
      </c>
      <c r="I14" s="684">
        <f t="shared" si="4"/>
        <v>5163</v>
      </c>
      <c r="J14" s="680">
        <f>SUM(J5:J13)</f>
        <v>3229</v>
      </c>
      <c r="K14" s="686">
        <f>SUM(K5:K13)</f>
        <v>1934</v>
      </c>
      <c r="L14" s="490"/>
      <c r="M14" s="512"/>
      <c r="N14" s="490"/>
      <c r="O14" s="490"/>
      <c r="P14" s="490"/>
      <c r="Q14" s="490"/>
      <c r="R14" s="490"/>
      <c r="S14" s="490"/>
      <c r="T14" s="490"/>
      <c r="U14" s="490"/>
      <c r="V14" s="490"/>
      <c r="W14" s="490"/>
      <c r="X14" s="490"/>
      <c r="Y14" s="490"/>
      <c r="Z14" s="490"/>
      <c r="AA14" s="490"/>
      <c r="AB14" s="490"/>
      <c r="AC14" s="490"/>
      <c r="AD14" s="490"/>
      <c r="AE14" s="490"/>
      <c r="AF14" s="490"/>
      <c r="AG14" s="490"/>
      <c r="AH14" s="490"/>
      <c r="AI14" s="490"/>
      <c r="AJ14" s="490"/>
      <c r="AK14" s="490"/>
      <c r="AL14" s="490"/>
      <c r="AM14" s="490"/>
      <c r="AN14" s="490"/>
    </row>
    <row r="15" spans="1:40" s="491" customFormat="1" ht="24.75" customHeight="1">
      <c r="A15" s="506" t="s">
        <v>70</v>
      </c>
      <c r="B15" s="497"/>
      <c r="C15" s="687">
        <f>SUM(F15,I15)</f>
        <v>459</v>
      </c>
      <c r="D15" s="688">
        <f>SUM(G15,J15)</f>
        <v>280</v>
      </c>
      <c r="E15" s="689">
        <f>SUM(H15,K15)</f>
        <v>179</v>
      </c>
      <c r="F15" s="690" t="s">
        <v>39</v>
      </c>
      <c r="G15" s="691" t="s">
        <v>39</v>
      </c>
      <c r="H15" s="692" t="s">
        <v>39</v>
      </c>
      <c r="I15" s="687">
        <f t="shared" si="4"/>
        <v>459</v>
      </c>
      <c r="J15" s="688">
        <v>280</v>
      </c>
      <c r="K15" s="693">
        <v>179</v>
      </c>
      <c r="L15" s="490"/>
      <c r="M15" s="512"/>
      <c r="N15" s="490"/>
      <c r="O15" s="490"/>
      <c r="P15" s="490"/>
      <c r="Q15" s="490"/>
      <c r="R15" s="490"/>
      <c r="S15" s="490"/>
      <c r="T15" s="490"/>
      <c r="U15" s="490"/>
      <c r="V15" s="490"/>
      <c r="W15" s="490"/>
      <c r="X15" s="490"/>
      <c r="Y15" s="490"/>
      <c r="Z15" s="490"/>
      <c r="AA15" s="490"/>
      <c r="AB15" s="490"/>
      <c r="AC15" s="490"/>
      <c r="AD15" s="490"/>
      <c r="AE15" s="490"/>
      <c r="AF15" s="490"/>
      <c r="AG15" s="490"/>
      <c r="AH15" s="490"/>
      <c r="AI15" s="490"/>
      <c r="AJ15" s="490"/>
      <c r="AK15" s="490"/>
      <c r="AL15" s="490"/>
      <c r="AM15" s="490"/>
      <c r="AN15" s="490"/>
    </row>
    <row r="16" spans="1:40" s="491" customFormat="1" ht="24.75" customHeight="1">
      <c r="A16" s="526" t="s">
        <v>71</v>
      </c>
      <c r="B16" s="527"/>
      <c r="C16" s="694">
        <f t="shared" si="5"/>
        <v>8033</v>
      </c>
      <c r="D16" s="695">
        <f t="shared" si="5"/>
        <v>5114</v>
      </c>
      <c r="E16" s="696">
        <f t="shared" si="5"/>
        <v>2919</v>
      </c>
      <c r="F16" s="694">
        <f t="shared" si="3"/>
        <v>2411</v>
      </c>
      <c r="G16" s="695">
        <f>SUM(G14:G15)</f>
        <v>1605</v>
      </c>
      <c r="H16" s="696">
        <f>SUM(H14:H15)</f>
        <v>806</v>
      </c>
      <c r="I16" s="694">
        <f t="shared" si="4"/>
        <v>5622</v>
      </c>
      <c r="J16" s="695">
        <f>SUM(J14:J15)</f>
        <v>3509</v>
      </c>
      <c r="K16" s="697">
        <f>SUM(K14:K15)</f>
        <v>2113</v>
      </c>
      <c r="L16" s="490"/>
      <c r="M16" s="512"/>
      <c r="N16" s="490"/>
      <c r="O16" s="490"/>
      <c r="P16" s="490"/>
      <c r="Q16" s="490"/>
      <c r="R16" s="490"/>
      <c r="S16" s="490"/>
      <c r="T16" s="490"/>
      <c r="U16" s="490"/>
      <c r="V16" s="490"/>
      <c r="W16" s="490"/>
      <c r="X16" s="490"/>
      <c r="Y16" s="490"/>
      <c r="Z16" s="490"/>
      <c r="AA16" s="490"/>
      <c r="AB16" s="490"/>
      <c r="AC16" s="490"/>
      <c r="AD16" s="490"/>
      <c r="AE16" s="490"/>
      <c r="AF16" s="490"/>
      <c r="AG16" s="490"/>
      <c r="AH16" s="490"/>
      <c r="AI16" s="490"/>
      <c r="AJ16" s="490"/>
      <c r="AK16" s="490"/>
      <c r="AL16" s="490"/>
      <c r="AM16" s="490"/>
      <c r="AN16" s="490"/>
    </row>
    <row r="17" spans="3:40" s="491" customFormat="1" ht="18.75" customHeight="1">
      <c r="C17" s="698"/>
      <c r="D17" s="698"/>
      <c r="E17" s="698"/>
      <c r="F17" s="685"/>
      <c r="G17" s="685"/>
      <c r="H17" s="685"/>
      <c r="I17" s="685"/>
      <c r="J17" s="685"/>
      <c r="K17" s="685"/>
      <c r="L17" s="490"/>
      <c r="M17" s="490"/>
      <c r="N17" s="490"/>
      <c r="O17" s="490"/>
      <c r="P17" s="490"/>
      <c r="Q17" s="490"/>
      <c r="R17" s="490"/>
      <c r="S17" s="490"/>
      <c r="T17" s="490"/>
      <c r="U17" s="490"/>
      <c r="V17" s="490"/>
      <c r="W17" s="490"/>
      <c r="X17" s="490"/>
      <c r="Y17" s="490"/>
      <c r="Z17" s="490"/>
      <c r="AA17" s="490"/>
      <c r="AB17" s="490"/>
      <c r="AC17" s="490"/>
      <c r="AD17" s="490"/>
      <c r="AE17" s="490"/>
      <c r="AF17" s="490"/>
      <c r="AG17" s="490"/>
      <c r="AH17" s="490"/>
      <c r="AI17" s="490"/>
      <c r="AJ17" s="490"/>
      <c r="AK17" s="490"/>
      <c r="AL17" s="490"/>
      <c r="AM17" s="490"/>
      <c r="AN17" s="490"/>
    </row>
    <row r="18" spans="1:40" s="483" customFormat="1" ht="26.25" customHeight="1">
      <c r="A18" s="483" t="s">
        <v>424</v>
      </c>
      <c r="C18" s="547"/>
      <c r="D18" s="547"/>
      <c r="E18" s="547"/>
      <c r="F18" s="679"/>
      <c r="G18" s="681"/>
      <c r="H18" s="681"/>
      <c r="I18" s="681"/>
      <c r="J18" s="681"/>
      <c r="K18" s="681"/>
      <c r="L18" s="484"/>
      <c r="M18" s="484"/>
      <c r="N18" s="484"/>
      <c r="O18" s="484"/>
      <c r="P18" s="484"/>
      <c r="Q18" s="484"/>
      <c r="R18" s="484"/>
      <c r="S18" s="484"/>
      <c r="T18" s="484"/>
      <c r="U18" s="484"/>
      <c r="V18" s="484"/>
      <c r="W18" s="484"/>
      <c r="X18" s="484"/>
      <c r="Y18" s="484"/>
      <c r="Z18" s="484"/>
      <c r="AA18" s="484"/>
      <c r="AB18" s="484"/>
      <c r="AC18" s="484"/>
      <c r="AD18" s="484"/>
      <c r="AE18" s="484"/>
      <c r="AF18" s="484"/>
      <c r="AG18" s="484"/>
      <c r="AH18" s="484"/>
      <c r="AI18" s="484"/>
      <c r="AJ18" s="484"/>
      <c r="AK18" s="484"/>
      <c r="AL18" s="484"/>
      <c r="AM18" s="484"/>
      <c r="AN18" s="484"/>
    </row>
    <row r="19" spans="3:40" s="491" customFormat="1" ht="13.5" customHeight="1">
      <c r="C19" s="698"/>
      <c r="D19" s="698"/>
      <c r="E19" s="698"/>
      <c r="F19" s="689"/>
      <c r="G19" s="681"/>
      <c r="H19" s="681"/>
      <c r="I19" s="681"/>
      <c r="J19" s="681"/>
      <c r="K19" s="681"/>
      <c r="L19" s="490"/>
      <c r="M19" s="490"/>
      <c r="N19" s="490"/>
      <c r="O19" s="490"/>
      <c r="P19" s="490"/>
      <c r="Q19" s="490"/>
      <c r="R19" s="490"/>
      <c r="S19" s="490"/>
      <c r="T19" s="490"/>
      <c r="U19" s="490"/>
      <c r="V19" s="490"/>
      <c r="W19" s="490"/>
      <c r="X19" s="490"/>
      <c r="Y19" s="490"/>
      <c r="Z19" s="490"/>
      <c r="AA19" s="490"/>
      <c r="AB19" s="490"/>
      <c r="AC19" s="490"/>
      <c r="AD19" s="490"/>
      <c r="AE19" s="490"/>
      <c r="AF19" s="490"/>
      <c r="AG19" s="490"/>
      <c r="AH19" s="490"/>
      <c r="AI19" s="490"/>
      <c r="AJ19" s="490"/>
      <c r="AK19" s="490"/>
      <c r="AL19" s="490"/>
      <c r="AM19" s="490"/>
      <c r="AN19" s="490"/>
    </row>
    <row r="20" spans="1:40" s="491" customFormat="1" ht="30" customHeight="1">
      <c r="A20" s="1326" t="s">
        <v>33</v>
      </c>
      <c r="B20" s="1328"/>
      <c r="C20" s="1438" t="s">
        <v>78</v>
      </c>
      <c r="D20" s="1439"/>
      <c r="E20" s="1440"/>
      <c r="F20" s="1438" t="s">
        <v>174</v>
      </c>
      <c r="G20" s="1439"/>
      <c r="H20" s="1440"/>
      <c r="I20" s="1438" t="s">
        <v>175</v>
      </c>
      <c r="J20" s="1439"/>
      <c r="K20" s="1440"/>
      <c r="L20" s="490"/>
      <c r="M20" s="490"/>
      <c r="N20" s="490"/>
      <c r="O20" s="490"/>
      <c r="P20" s="490"/>
      <c r="Q20" s="490"/>
      <c r="R20" s="490"/>
      <c r="S20" s="490"/>
      <c r="T20" s="490"/>
      <c r="U20" s="490"/>
      <c r="V20" s="490"/>
      <c r="W20" s="490"/>
      <c r="X20" s="490"/>
      <c r="Y20" s="490"/>
      <c r="Z20" s="490"/>
      <c r="AA20" s="490"/>
      <c r="AB20" s="490"/>
      <c r="AC20" s="490"/>
      <c r="AD20" s="490"/>
      <c r="AE20" s="490"/>
      <c r="AF20" s="490"/>
      <c r="AG20" s="490"/>
      <c r="AH20" s="490"/>
      <c r="AI20" s="490"/>
      <c r="AJ20" s="490"/>
      <c r="AK20" s="490"/>
      <c r="AL20" s="490"/>
      <c r="AM20" s="490"/>
      <c r="AN20" s="490"/>
    </row>
    <row r="21" spans="1:40" s="491" customFormat="1" ht="25.5" customHeight="1">
      <c r="A21" s="1332"/>
      <c r="B21" s="1334"/>
      <c r="C21" s="549" t="s">
        <v>5</v>
      </c>
      <c r="D21" s="551" t="s">
        <v>43</v>
      </c>
      <c r="E21" s="552" t="s">
        <v>44</v>
      </c>
      <c r="F21" s="549" t="s">
        <v>5</v>
      </c>
      <c r="G21" s="551" t="s">
        <v>43</v>
      </c>
      <c r="H21" s="550" t="s">
        <v>44</v>
      </c>
      <c r="I21" s="549" t="s">
        <v>5</v>
      </c>
      <c r="J21" s="551" t="s">
        <v>43</v>
      </c>
      <c r="K21" s="550" t="s">
        <v>44</v>
      </c>
      <c r="L21" s="490"/>
      <c r="M21" s="490"/>
      <c r="N21" s="490"/>
      <c r="O21" s="490"/>
      <c r="P21" s="490"/>
      <c r="Q21" s="490"/>
      <c r="R21" s="490"/>
      <c r="S21" s="490"/>
      <c r="T21" s="490"/>
      <c r="U21" s="490"/>
      <c r="V21" s="490"/>
      <c r="W21" s="490"/>
      <c r="X21" s="490"/>
      <c r="Y21" s="490"/>
      <c r="Z21" s="490"/>
      <c r="AA21" s="490"/>
      <c r="AB21" s="490"/>
      <c r="AC21" s="490"/>
      <c r="AD21" s="490"/>
      <c r="AE21" s="490"/>
      <c r="AF21" s="490"/>
      <c r="AG21" s="490"/>
      <c r="AH21" s="490"/>
      <c r="AI21" s="490"/>
      <c r="AJ21" s="490"/>
      <c r="AK21" s="490"/>
      <c r="AL21" s="490"/>
      <c r="AM21" s="490"/>
      <c r="AN21" s="490"/>
    </row>
    <row r="22" spans="1:40" s="491" customFormat="1" ht="28.5" customHeight="1">
      <c r="A22" s="506" t="s">
        <v>34</v>
      </c>
      <c r="B22" s="497"/>
      <c r="C22" s="679">
        <f aca="true" t="shared" si="6" ref="C22:E27">F22+I22</f>
        <v>2724</v>
      </c>
      <c r="D22" s="682">
        <f t="shared" si="6"/>
        <v>1672</v>
      </c>
      <c r="E22" s="681">
        <f t="shared" si="6"/>
        <v>1052</v>
      </c>
      <c r="F22" s="679">
        <f aca="true" t="shared" si="7" ref="F22:F27">G22+H22</f>
        <v>999</v>
      </c>
      <c r="G22" s="682">
        <v>679</v>
      </c>
      <c r="H22" s="681">
        <v>320</v>
      </c>
      <c r="I22" s="679">
        <f aca="true" t="shared" si="8" ref="I22:I27">J22+K22</f>
        <v>1725</v>
      </c>
      <c r="J22" s="682">
        <v>993</v>
      </c>
      <c r="K22" s="683">
        <v>732</v>
      </c>
      <c r="L22" s="490"/>
      <c r="M22" s="534"/>
      <c r="N22" s="490"/>
      <c r="O22" s="490"/>
      <c r="P22" s="490"/>
      <c r="Q22" s="490"/>
      <c r="R22" s="490"/>
      <c r="S22" s="490"/>
      <c r="T22" s="490"/>
      <c r="U22" s="490"/>
      <c r="V22" s="490"/>
      <c r="W22" s="490"/>
      <c r="X22" s="490"/>
      <c r="Y22" s="490"/>
      <c r="Z22" s="490"/>
      <c r="AA22" s="490"/>
      <c r="AB22" s="490"/>
      <c r="AC22" s="490"/>
      <c r="AD22" s="490"/>
      <c r="AE22" s="490"/>
      <c r="AF22" s="490"/>
      <c r="AG22" s="490"/>
      <c r="AH22" s="490"/>
      <c r="AI22" s="490"/>
      <c r="AJ22" s="490"/>
      <c r="AK22" s="490"/>
      <c r="AL22" s="490"/>
      <c r="AM22" s="490"/>
      <c r="AN22" s="490"/>
    </row>
    <row r="23" spans="1:40" s="491" customFormat="1" ht="28.5" customHeight="1">
      <c r="A23" s="1429" t="s">
        <v>35</v>
      </c>
      <c r="B23" s="1430"/>
      <c r="C23" s="679">
        <f t="shared" si="6"/>
        <v>2164</v>
      </c>
      <c r="D23" s="682">
        <f t="shared" si="6"/>
        <v>1439</v>
      </c>
      <c r="E23" s="681">
        <f t="shared" si="6"/>
        <v>725</v>
      </c>
      <c r="F23" s="679">
        <f t="shared" si="7"/>
        <v>794</v>
      </c>
      <c r="G23" s="682">
        <v>506</v>
      </c>
      <c r="H23" s="681">
        <v>288</v>
      </c>
      <c r="I23" s="679">
        <f t="shared" si="8"/>
        <v>1370</v>
      </c>
      <c r="J23" s="682">
        <v>933</v>
      </c>
      <c r="K23" s="683">
        <v>437</v>
      </c>
      <c r="L23" s="490"/>
      <c r="M23" s="534"/>
      <c r="N23" s="490"/>
      <c r="O23" s="490"/>
      <c r="P23" s="490"/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/>
      <c r="AG23" s="490"/>
      <c r="AH23" s="490"/>
      <c r="AI23" s="490"/>
      <c r="AJ23" s="490"/>
      <c r="AK23" s="490"/>
      <c r="AL23" s="490"/>
      <c r="AM23" s="490"/>
      <c r="AN23" s="490"/>
    </row>
    <row r="24" spans="1:40" s="491" customFormat="1" ht="28.5" customHeight="1">
      <c r="A24" s="506" t="s">
        <v>36</v>
      </c>
      <c r="B24" s="497"/>
      <c r="C24" s="679">
        <f t="shared" si="6"/>
        <v>1596</v>
      </c>
      <c r="D24" s="682">
        <f t="shared" si="6"/>
        <v>1032</v>
      </c>
      <c r="E24" s="681">
        <f t="shared" si="6"/>
        <v>564</v>
      </c>
      <c r="F24" s="679">
        <f t="shared" si="7"/>
        <v>234</v>
      </c>
      <c r="G24" s="682">
        <v>178</v>
      </c>
      <c r="H24" s="681">
        <v>56</v>
      </c>
      <c r="I24" s="679">
        <f t="shared" si="8"/>
        <v>1362</v>
      </c>
      <c r="J24" s="682">
        <v>854</v>
      </c>
      <c r="K24" s="683">
        <v>508</v>
      </c>
      <c r="L24" s="490"/>
      <c r="M24" s="534"/>
      <c r="N24" s="490"/>
      <c r="O24" s="490"/>
      <c r="P24" s="490"/>
      <c r="Q24" s="490"/>
      <c r="R24" s="490"/>
      <c r="S24" s="490"/>
      <c r="T24" s="490"/>
      <c r="U24" s="490"/>
      <c r="V24" s="490"/>
      <c r="W24" s="490"/>
      <c r="X24" s="490"/>
      <c r="Y24" s="490"/>
      <c r="Z24" s="490"/>
      <c r="AA24" s="490"/>
      <c r="AB24" s="490"/>
      <c r="AC24" s="490"/>
      <c r="AD24" s="490"/>
      <c r="AE24" s="490"/>
      <c r="AF24" s="490"/>
      <c r="AG24" s="490"/>
      <c r="AH24" s="490"/>
      <c r="AI24" s="490"/>
      <c r="AJ24" s="490"/>
      <c r="AK24" s="490"/>
      <c r="AL24" s="490"/>
      <c r="AM24" s="490"/>
      <c r="AN24" s="490"/>
    </row>
    <row r="25" spans="1:40" s="491" customFormat="1" ht="27.75" customHeight="1">
      <c r="A25" s="506" t="s">
        <v>51</v>
      </c>
      <c r="B25" s="536"/>
      <c r="C25" s="679">
        <f t="shared" si="6"/>
        <v>1090</v>
      </c>
      <c r="D25" s="682">
        <f t="shared" si="6"/>
        <v>691</v>
      </c>
      <c r="E25" s="681">
        <f t="shared" si="6"/>
        <v>399</v>
      </c>
      <c r="F25" s="679">
        <f t="shared" si="7"/>
        <v>384</v>
      </c>
      <c r="G25" s="682">
        <v>242</v>
      </c>
      <c r="H25" s="681">
        <v>142</v>
      </c>
      <c r="I25" s="679">
        <f t="shared" si="8"/>
        <v>706</v>
      </c>
      <c r="J25" s="682">
        <v>449</v>
      </c>
      <c r="K25" s="683">
        <v>257</v>
      </c>
      <c r="L25" s="490"/>
      <c r="M25" s="534"/>
      <c r="N25" s="490"/>
      <c r="O25" s="490"/>
      <c r="P25" s="490"/>
      <c r="Q25" s="490"/>
      <c r="R25" s="490"/>
      <c r="S25" s="490"/>
      <c r="T25" s="490"/>
      <c r="U25" s="490"/>
      <c r="V25" s="490"/>
      <c r="W25" s="490"/>
      <c r="X25" s="490"/>
      <c r="Y25" s="490"/>
      <c r="Z25" s="490"/>
      <c r="AA25" s="490"/>
      <c r="AB25" s="490"/>
      <c r="AC25" s="490"/>
      <c r="AD25" s="490"/>
      <c r="AE25" s="490"/>
      <c r="AF25" s="490"/>
      <c r="AG25" s="490"/>
      <c r="AH25" s="490"/>
      <c r="AI25" s="490"/>
      <c r="AJ25" s="490"/>
      <c r="AK25" s="490"/>
      <c r="AL25" s="490"/>
      <c r="AM25" s="490"/>
      <c r="AN25" s="490"/>
    </row>
    <row r="26" spans="1:40" s="491" customFormat="1" ht="29.25" customHeight="1">
      <c r="A26" s="506" t="s">
        <v>38</v>
      </c>
      <c r="B26" s="497"/>
      <c r="C26" s="679">
        <f>SUM(F26,I26)</f>
        <v>459</v>
      </c>
      <c r="D26" s="682">
        <f>SUM(G26,J26)</f>
        <v>280</v>
      </c>
      <c r="E26" s="681">
        <f>SUM(H26,K26)</f>
        <v>179</v>
      </c>
      <c r="F26" s="690" t="s">
        <v>39</v>
      </c>
      <c r="G26" s="691" t="s">
        <v>39</v>
      </c>
      <c r="H26" s="692" t="s">
        <v>39</v>
      </c>
      <c r="I26" s="679">
        <f t="shared" si="8"/>
        <v>459</v>
      </c>
      <c r="J26" s="682">
        <v>280</v>
      </c>
      <c r="K26" s="683">
        <v>179</v>
      </c>
      <c r="L26" s="490"/>
      <c r="M26" s="534"/>
      <c r="N26" s="490"/>
      <c r="O26" s="490"/>
      <c r="P26" s="490"/>
      <c r="Q26" s="490"/>
      <c r="R26" s="490"/>
      <c r="S26" s="490"/>
      <c r="T26" s="490"/>
      <c r="U26" s="490"/>
      <c r="V26" s="490"/>
      <c r="W26" s="490"/>
      <c r="X26" s="490"/>
      <c r="Y26" s="490"/>
      <c r="Z26" s="490"/>
      <c r="AA26" s="490"/>
      <c r="AB26" s="490"/>
      <c r="AC26" s="490"/>
      <c r="AD26" s="490"/>
      <c r="AE26" s="490"/>
      <c r="AF26" s="490"/>
      <c r="AG26" s="490"/>
      <c r="AH26" s="490"/>
      <c r="AI26" s="490"/>
      <c r="AJ26" s="490"/>
      <c r="AK26" s="490"/>
      <c r="AL26" s="490"/>
      <c r="AM26" s="490"/>
      <c r="AN26" s="490"/>
    </row>
    <row r="27" spans="1:40" s="491" customFormat="1" ht="36" customHeight="1">
      <c r="A27" s="526" t="s">
        <v>52</v>
      </c>
      <c r="B27" s="527"/>
      <c r="C27" s="694">
        <f t="shared" si="6"/>
        <v>8033</v>
      </c>
      <c r="D27" s="695">
        <f t="shared" si="6"/>
        <v>5114</v>
      </c>
      <c r="E27" s="696">
        <f t="shared" si="6"/>
        <v>2919</v>
      </c>
      <c r="F27" s="694">
        <f t="shared" si="7"/>
        <v>2411</v>
      </c>
      <c r="G27" s="695">
        <f>SUM(G22:G26)</f>
        <v>1605</v>
      </c>
      <c r="H27" s="696">
        <f>SUM(H22:H26)</f>
        <v>806</v>
      </c>
      <c r="I27" s="694">
        <f t="shared" si="8"/>
        <v>5622</v>
      </c>
      <c r="J27" s="695">
        <f>SUM(J22:J26)</f>
        <v>3509</v>
      </c>
      <c r="K27" s="697">
        <f>SUM(K22:K26)</f>
        <v>2113</v>
      </c>
      <c r="L27" s="490"/>
      <c r="M27" s="534"/>
      <c r="N27" s="490"/>
      <c r="O27" s="490"/>
      <c r="P27" s="490"/>
      <c r="Q27" s="490"/>
      <c r="R27" s="490"/>
      <c r="S27" s="490"/>
      <c r="T27" s="490"/>
      <c r="U27" s="490"/>
      <c r="V27" s="490"/>
      <c r="W27" s="490"/>
      <c r="X27" s="490"/>
      <c r="Y27" s="490"/>
      <c r="Z27" s="490"/>
      <c r="AA27" s="490"/>
      <c r="AB27" s="490"/>
      <c r="AC27" s="490"/>
      <c r="AD27" s="490"/>
      <c r="AE27" s="490"/>
      <c r="AF27" s="490"/>
      <c r="AG27" s="490"/>
      <c r="AH27" s="490"/>
      <c r="AI27" s="490"/>
      <c r="AJ27" s="490"/>
      <c r="AK27" s="490"/>
      <c r="AL27" s="490"/>
      <c r="AM27" s="490"/>
      <c r="AN27" s="490"/>
    </row>
    <row r="28" ht="17.25" customHeight="1">
      <c r="A28" s="542"/>
    </row>
    <row r="29" spans="1:11" s="576" customFormat="1" ht="18.75" customHeight="1">
      <c r="A29" s="1448" t="s">
        <v>275</v>
      </c>
      <c r="B29" s="1448"/>
      <c r="C29" s="1448"/>
      <c r="D29" s="1448"/>
      <c r="E29" s="1448"/>
      <c r="F29" s="1448"/>
      <c r="G29" s="1448"/>
      <c r="H29" s="1448"/>
      <c r="I29" s="1448"/>
      <c r="J29" s="1448"/>
      <c r="K29" s="1448"/>
    </row>
    <row r="30" spans="1:11" s="576" customFormat="1" ht="18" customHeight="1">
      <c r="A30" s="577"/>
      <c r="B30" s="577"/>
      <c r="C30" s="578"/>
      <c r="D30" s="578"/>
      <c r="E30" s="578"/>
      <c r="F30" s="578"/>
      <c r="G30" s="578"/>
      <c r="H30" s="578"/>
      <c r="I30" s="578"/>
      <c r="J30" s="578"/>
      <c r="K30" s="579"/>
    </row>
  </sheetData>
  <sheetProtection/>
  <mergeCells count="10">
    <mergeCell ref="A29:K29"/>
    <mergeCell ref="A23:B23"/>
    <mergeCell ref="C3:E3"/>
    <mergeCell ref="F3:H3"/>
    <mergeCell ref="I3:K3"/>
    <mergeCell ref="A3:B4"/>
    <mergeCell ref="F20:H20"/>
    <mergeCell ref="I20:K20"/>
    <mergeCell ref="A20:B21"/>
    <mergeCell ref="C20:E20"/>
  </mergeCells>
  <printOptions horizontalCentered="1"/>
  <pageMargins left="0.25" right="0.2" top="0.75" bottom="0.25" header="0.5" footer="0.25"/>
  <pageSetup horizontalDpi="300" verticalDpi="300" orientation="portrait" paperSize="9" r:id="rId1"/>
  <headerFooter alignWithMargins="0">
    <oddHeader>&amp;C&amp;"Times New Roman,Regular"&amp;11- 25 -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K31" sqref="K31"/>
    </sheetView>
  </sheetViews>
  <sheetFormatPr defaultColWidth="9.140625" defaultRowHeight="12.75"/>
  <cols>
    <col min="1" max="1" width="0.71875" style="2" customWidth="1"/>
    <col min="2" max="2" width="33.421875" style="2" customWidth="1"/>
    <col min="3" max="8" width="7.8515625" style="2" customWidth="1"/>
    <col min="9" max="9" width="8.00390625" style="2" customWidth="1"/>
    <col min="10" max="10" width="8.140625" style="2" customWidth="1"/>
    <col min="11" max="11" width="7.8515625" style="2" customWidth="1"/>
    <col min="12" max="14" width="8.57421875" style="2" customWidth="1"/>
    <col min="15" max="15" width="9.140625" style="388" customWidth="1"/>
    <col min="16" max="16" width="3.00390625" style="2" customWidth="1"/>
    <col min="17" max="17" width="4.421875" style="2" customWidth="1"/>
    <col min="18" max="18" width="4.57421875" style="2" customWidth="1"/>
    <col min="19" max="16384" width="9.140625" style="2" customWidth="1"/>
  </cols>
  <sheetData>
    <row r="1" spans="1:15" ht="19.5" customHeight="1">
      <c r="A1" s="54" t="s">
        <v>420</v>
      </c>
      <c r="O1" s="490"/>
    </row>
    <row r="2" spans="2:15" ht="15" customHeight="1">
      <c r="B2" s="12"/>
      <c r="O2" s="490"/>
    </row>
    <row r="3" spans="1:15" ht="15" customHeight="1">
      <c r="A3" s="1326" t="s">
        <v>16</v>
      </c>
      <c r="B3" s="1328"/>
      <c r="C3" s="1264" t="s">
        <v>176</v>
      </c>
      <c r="D3" s="1335"/>
      <c r="E3" s="1335"/>
      <c r="F3" s="1335"/>
      <c r="G3" s="1335"/>
      <c r="H3" s="1335"/>
      <c r="I3" s="1335"/>
      <c r="J3" s="1335"/>
      <c r="K3" s="1335"/>
      <c r="L3" s="1335"/>
      <c r="M3" s="1335"/>
      <c r="N3" s="1265"/>
      <c r="O3" s="451"/>
    </row>
    <row r="4" spans="1:15" ht="15" customHeight="1">
      <c r="A4" s="1329"/>
      <c r="B4" s="1331"/>
      <c r="C4" s="1264" t="s">
        <v>177</v>
      </c>
      <c r="D4" s="1335"/>
      <c r="E4" s="1265"/>
      <c r="F4" s="1264" t="s">
        <v>178</v>
      </c>
      <c r="G4" s="1335"/>
      <c r="H4" s="1265"/>
      <c r="I4" s="1335" t="s">
        <v>179</v>
      </c>
      <c r="J4" s="1335"/>
      <c r="K4" s="1265"/>
      <c r="L4" s="1264" t="s">
        <v>5</v>
      </c>
      <c r="M4" s="1335"/>
      <c r="N4" s="1265"/>
      <c r="O4" s="699"/>
    </row>
    <row r="5" spans="1:15" ht="15" customHeight="1">
      <c r="A5" s="1332"/>
      <c r="B5" s="1334"/>
      <c r="C5" s="8" t="s">
        <v>5</v>
      </c>
      <c r="D5" s="700" t="s">
        <v>43</v>
      </c>
      <c r="E5" s="9" t="s">
        <v>44</v>
      </c>
      <c r="F5" s="8" t="s">
        <v>5</v>
      </c>
      <c r="G5" s="700" t="s">
        <v>43</v>
      </c>
      <c r="H5" s="9" t="s">
        <v>44</v>
      </c>
      <c r="I5" s="8" t="s">
        <v>5</v>
      </c>
      <c r="J5" s="700" t="s">
        <v>43</v>
      </c>
      <c r="K5" s="9" t="s">
        <v>44</v>
      </c>
      <c r="L5" s="8" t="s">
        <v>5</v>
      </c>
      <c r="M5" s="700" t="s">
        <v>43</v>
      </c>
      <c r="N5" s="9" t="s">
        <v>44</v>
      </c>
      <c r="O5" s="699"/>
    </row>
    <row r="6" spans="1:15" ht="16.5" customHeight="1">
      <c r="A6" s="6"/>
      <c r="B6" s="701" t="s">
        <v>196</v>
      </c>
      <c r="C6" s="702">
        <f>D6+E6</f>
        <v>412</v>
      </c>
      <c r="D6" s="703">
        <v>227</v>
      </c>
      <c r="E6" s="704">
        <v>185</v>
      </c>
      <c r="F6" s="702">
        <f>G6+H6</f>
        <v>317</v>
      </c>
      <c r="G6" s="703">
        <v>161</v>
      </c>
      <c r="H6" s="704">
        <v>156</v>
      </c>
      <c r="I6" s="705">
        <f aca="true" t="shared" si="0" ref="I6:I14">J6+K6</f>
        <v>341</v>
      </c>
      <c r="J6" s="703">
        <v>208</v>
      </c>
      <c r="K6" s="704">
        <v>133</v>
      </c>
      <c r="L6" s="706">
        <f>C6+F6+I6</f>
        <v>1070</v>
      </c>
      <c r="M6" s="707">
        <f>D6+G6+J6</f>
        <v>596</v>
      </c>
      <c r="N6" s="708">
        <f>E6+H6+K6</f>
        <v>474</v>
      </c>
      <c r="O6" s="699"/>
    </row>
    <row r="7" spans="1:15" ht="16.5" customHeight="1">
      <c r="A7" s="13"/>
      <c r="B7" s="701" t="s">
        <v>180</v>
      </c>
      <c r="C7" s="702">
        <f aca="true" t="shared" si="1" ref="C7:C14">D7+E7</f>
        <v>270</v>
      </c>
      <c r="D7" s="703">
        <v>160</v>
      </c>
      <c r="E7" s="704">
        <v>110</v>
      </c>
      <c r="F7" s="702">
        <f aca="true" t="shared" si="2" ref="F7:F14">G7+H7</f>
        <v>269</v>
      </c>
      <c r="G7" s="703">
        <v>175</v>
      </c>
      <c r="H7" s="704">
        <v>94</v>
      </c>
      <c r="I7" s="705">
        <f t="shared" si="0"/>
        <v>249</v>
      </c>
      <c r="J7" s="703">
        <v>163</v>
      </c>
      <c r="K7" s="704">
        <v>86</v>
      </c>
      <c r="L7" s="702">
        <f aca="true" t="shared" si="3" ref="L7:L14">C7+F7+I7</f>
        <v>788</v>
      </c>
      <c r="M7" s="703">
        <f aca="true" t="shared" si="4" ref="M7:M14">D7+G7+J7</f>
        <v>498</v>
      </c>
      <c r="N7" s="704">
        <f aca="true" t="shared" si="5" ref="N7:N14">E7+H7+K7</f>
        <v>290</v>
      </c>
      <c r="O7" s="699"/>
    </row>
    <row r="8" spans="1:15" ht="16.5" customHeight="1">
      <c r="A8" s="13"/>
      <c r="B8" s="701" t="s">
        <v>181</v>
      </c>
      <c r="C8" s="702">
        <f t="shared" si="1"/>
        <v>325</v>
      </c>
      <c r="D8" s="703">
        <v>221</v>
      </c>
      <c r="E8" s="704">
        <v>104</v>
      </c>
      <c r="F8" s="702">
        <f t="shared" si="2"/>
        <v>294</v>
      </c>
      <c r="G8" s="703">
        <v>219</v>
      </c>
      <c r="H8" s="704">
        <v>75</v>
      </c>
      <c r="I8" s="705">
        <f t="shared" si="0"/>
        <v>208</v>
      </c>
      <c r="J8" s="703">
        <v>138</v>
      </c>
      <c r="K8" s="704">
        <v>70</v>
      </c>
      <c r="L8" s="702">
        <f t="shared" si="3"/>
        <v>827</v>
      </c>
      <c r="M8" s="703">
        <f t="shared" si="4"/>
        <v>578</v>
      </c>
      <c r="N8" s="704">
        <f t="shared" si="5"/>
        <v>249</v>
      </c>
      <c r="O8" s="699"/>
    </row>
    <row r="9" spans="1:15" ht="16.5" customHeight="1">
      <c r="A9" s="13"/>
      <c r="B9" s="701" t="s">
        <v>182</v>
      </c>
      <c r="C9" s="702">
        <f t="shared" si="1"/>
        <v>348</v>
      </c>
      <c r="D9" s="703">
        <v>236</v>
      </c>
      <c r="E9" s="704">
        <v>112</v>
      </c>
      <c r="F9" s="702">
        <f t="shared" si="2"/>
        <v>299</v>
      </c>
      <c r="G9" s="703">
        <v>222</v>
      </c>
      <c r="H9" s="704">
        <v>77</v>
      </c>
      <c r="I9" s="705">
        <f t="shared" si="0"/>
        <v>255</v>
      </c>
      <c r="J9" s="703">
        <v>160</v>
      </c>
      <c r="K9" s="704">
        <v>95</v>
      </c>
      <c r="L9" s="702">
        <f t="shared" si="3"/>
        <v>902</v>
      </c>
      <c r="M9" s="703">
        <f t="shared" si="4"/>
        <v>618</v>
      </c>
      <c r="N9" s="704">
        <f t="shared" si="5"/>
        <v>284</v>
      </c>
      <c r="O9" s="699"/>
    </row>
    <row r="10" spans="1:15" ht="16.5" customHeight="1">
      <c r="A10" s="13"/>
      <c r="B10" s="701" t="s">
        <v>183</v>
      </c>
      <c r="C10" s="702">
        <f t="shared" si="1"/>
        <v>235</v>
      </c>
      <c r="D10" s="703">
        <v>149</v>
      </c>
      <c r="E10" s="704">
        <v>86</v>
      </c>
      <c r="F10" s="702">
        <f t="shared" si="2"/>
        <v>211</v>
      </c>
      <c r="G10" s="703">
        <v>139</v>
      </c>
      <c r="H10" s="704">
        <v>72</v>
      </c>
      <c r="I10" s="705">
        <f t="shared" si="0"/>
        <v>225</v>
      </c>
      <c r="J10" s="703">
        <v>154</v>
      </c>
      <c r="K10" s="704">
        <v>71</v>
      </c>
      <c r="L10" s="702">
        <f t="shared" si="3"/>
        <v>671</v>
      </c>
      <c r="M10" s="703">
        <f t="shared" si="4"/>
        <v>442</v>
      </c>
      <c r="N10" s="704">
        <f t="shared" si="5"/>
        <v>229</v>
      </c>
      <c r="O10" s="699"/>
    </row>
    <row r="11" spans="1:15" ht="16.5" customHeight="1">
      <c r="A11" s="13"/>
      <c r="B11" s="701" t="s">
        <v>184</v>
      </c>
      <c r="C11" s="702">
        <f t="shared" si="1"/>
        <v>206</v>
      </c>
      <c r="D11" s="703">
        <v>130</v>
      </c>
      <c r="E11" s="704">
        <v>76</v>
      </c>
      <c r="F11" s="702">
        <f t="shared" si="2"/>
        <v>144</v>
      </c>
      <c r="G11" s="703">
        <v>101</v>
      </c>
      <c r="H11" s="704">
        <v>43</v>
      </c>
      <c r="I11" s="705">
        <f t="shared" si="0"/>
        <v>140</v>
      </c>
      <c r="J11" s="703">
        <v>102</v>
      </c>
      <c r="K11" s="704">
        <v>38</v>
      </c>
      <c r="L11" s="702">
        <f t="shared" si="3"/>
        <v>490</v>
      </c>
      <c r="M11" s="703">
        <f t="shared" si="4"/>
        <v>333</v>
      </c>
      <c r="N11" s="704">
        <f t="shared" si="5"/>
        <v>157</v>
      </c>
      <c r="O11" s="699"/>
    </row>
    <row r="12" spans="1:15" ht="16.5" customHeight="1">
      <c r="A12" s="13"/>
      <c r="B12" s="701" t="s">
        <v>185</v>
      </c>
      <c r="C12" s="702">
        <f t="shared" si="1"/>
        <v>762</v>
      </c>
      <c r="D12" s="703">
        <v>530</v>
      </c>
      <c r="E12" s="704">
        <v>232</v>
      </c>
      <c r="F12" s="702">
        <f t="shared" si="2"/>
        <v>669</v>
      </c>
      <c r="G12" s="703">
        <v>410</v>
      </c>
      <c r="H12" s="704">
        <v>259</v>
      </c>
      <c r="I12" s="705">
        <f t="shared" si="0"/>
        <v>599</v>
      </c>
      <c r="J12" s="703">
        <v>407</v>
      </c>
      <c r="K12" s="704">
        <v>192</v>
      </c>
      <c r="L12" s="702">
        <f t="shared" si="3"/>
        <v>2030</v>
      </c>
      <c r="M12" s="703">
        <f t="shared" si="4"/>
        <v>1347</v>
      </c>
      <c r="N12" s="704">
        <f t="shared" si="5"/>
        <v>683</v>
      </c>
      <c r="O12" s="699"/>
    </row>
    <row r="13" spans="1:15" ht="16.5" customHeight="1">
      <c r="A13" s="13"/>
      <c r="B13" s="701" t="s">
        <v>186</v>
      </c>
      <c r="C13" s="702">
        <f t="shared" si="1"/>
        <v>166</v>
      </c>
      <c r="D13" s="703">
        <v>85</v>
      </c>
      <c r="E13" s="704">
        <v>81</v>
      </c>
      <c r="F13" s="702">
        <f t="shared" si="2"/>
        <v>126</v>
      </c>
      <c r="G13" s="703">
        <v>65</v>
      </c>
      <c r="H13" s="704">
        <v>61</v>
      </c>
      <c r="I13" s="705">
        <f t="shared" si="0"/>
        <v>158</v>
      </c>
      <c r="J13" s="703">
        <v>86</v>
      </c>
      <c r="K13" s="704">
        <v>72</v>
      </c>
      <c r="L13" s="702">
        <f t="shared" si="3"/>
        <v>450</v>
      </c>
      <c r="M13" s="703">
        <f t="shared" si="4"/>
        <v>236</v>
      </c>
      <c r="N13" s="704">
        <f t="shared" si="5"/>
        <v>214</v>
      </c>
      <c r="O13" s="699"/>
    </row>
    <row r="14" spans="1:15" ht="16.5" customHeight="1">
      <c r="A14" s="13"/>
      <c r="B14" s="701" t="s">
        <v>187</v>
      </c>
      <c r="C14" s="702">
        <f t="shared" si="1"/>
        <v>120</v>
      </c>
      <c r="D14" s="703">
        <v>66</v>
      </c>
      <c r="E14" s="704">
        <v>54</v>
      </c>
      <c r="F14" s="702">
        <f t="shared" si="2"/>
        <v>112</v>
      </c>
      <c r="G14" s="703">
        <v>62</v>
      </c>
      <c r="H14" s="704">
        <v>50</v>
      </c>
      <c r="I14" s="705">
        <f t="shared" si="0"/>
        <v>114</v>
      </c>
      <c r="J14" s="703">
        <v>58</v>
      </c>
      <c r="K14" s="704">
        <v>56</v>
      </c>
      <c r="L14" s="709">
        <f t="shared" si="3"/>
        <v>346</v>
      </c>
      <c r="M14" s="710">
        <f t="shared" si="4"/>
        <v>186</v>
      </c>
      <c r="N14" s="711">
        <f t="shared" si="5"/>
        <v>160</v>
      </c>
      <c r="O14" s="699"/>
    </row>
    <row r="15" spans="1:15" ht="16.5" customHeight="1">
      <c r="A15" s="6"/>
      <c r="B15" s="712" t="s">
        <v>2</v>
      </c>
      <c r="C15" s="706">
        <f aca="true" t="shared" si="6" ref="C15:N15">SUM(C6:C14)</f>
        <v>2844</v>
      </c>
      <c r="D15" s="707">
        <f t="shared" si="6"/>
        <v>1804</v>
      </c>
      <c r="E15" s="708">
        <f t="shared" si="6"/>
        <v>1040</v>
      </c>
      <c r="F15" s="706">
        <f t="shared" si="6"/>
        <v>2441</v>
      </c>
      <c r="G15" s="707">
        <f t="shared" si="6"/>
        <v>1554</v>
      </c>
      <c r="H15" s="708">
        <f t="shared" si="6"/>
        <v>887</v>
      </c>
      <c r="I15" s="713">
        <f t="shared" si="6"/>
        <v>2289</v>
      </c>
      <c r="J15" s="707">
        <f t="shared" si="6"/>
        <v>1476</v>
      </c>
      <c r="K15" s="708">
        <f t="shared" si="6"/>
        <v>813</v>
      </c>
      <c r="L15" s="706">
        <f t="shared" si="6"/>
        <v>7574</v>
      </c>
      <c r="M15" s="707">
        <f t="shared" si="6"/>
        <v>4834</v>
      </c>
      <c r="N15" s="708">
        <f t="shared" si="6"/>
        <v>2740</v>
      </c>
      <c r="O15" s="699"/>
    </row>
    <row r="16" spans="1:15" ht="16.5" customHeight="1">
      <c r="A16" s="13"/>
      <c r="B16" s="701" t="s">
        <v>4</v>
      </c>
      <c r="C16" s="702">
        <f>D16+E16</f>
        <v>137</v>
      </c>
      <c r="D16" s="703">
        <v>85</v>
      </c>
      <c r="E16" s="704">
        <v>52</v>
      </c>
      <c r="F16" s="702">
        <f>G16+H16</f>
        <v>171</v>
      </c>
      <c r="G16" s="703">
        <v>101</v>
      </c>
      <c r="H16" s="704">
        <v>70</v>
      </c>
      <c r="I16" s="702">
        <f>J16+K16</f>
        <v>151</v>
      </c>
      <c r="J16" s="703">
        <v>94</v>
      </c>
      <c r="K16" s="704">
        <v>57</v>
      </c>
      <c r="L16" s="702">
        <f>C16+F16+I16</f>
        <v>459</v>
      </c>
      <c r="M16" s="703">
        <f>SUM(D16,G16,J16)</f>
        <v>280</v>
      </c>
      <c r="N16" s="714">
        <f>SUM(E16,H16,K16)</f>
        <v>179</v>
      </c>
      <c r="O16" s="699"/>
    </row>
    <row r="17" spans="1:15" s="18" customFormat="1" ht="24" customHeight="1">
      <c r="A17" s="24"/>
      <c r="B17" s="715" t="s">
        <v>105</v>
      </c>
      <c r="C17" s="716">
        <f aca="true" t="shared" si="7" ref="C17:N17">SUM(C15:C16)</f>
        <v>2981</v>
      </c>
      <c r="D17" s="717">
        <f t="shared" si="7"/>
        <v>1889</v>
      </c>
      <c r="E17" s="718">
        <f t="shared" si="7"/>
        <v>1092</v>
      </c>
      <c r="F17" s="716">
        <f t="shared" si="7"/>
        <v>2612</v>
      </c>
      <c r="G17" s="717">
        <f t="shared" si="7"/>
        <v>1655</v>
      </c>
      <c r="H17" s="718">
        <f t="shared" si="7"/>
        <v>957</v>
      </c>
      <c r="I17" s="719">
        <f t="shared" si="7"/>
        <v>2440</v>
      </c>
      <c r="J17" s="717">
        <f t="shared" si="7"/>
        <v>1570</v>
      </c>
      <c r="K17" s="718">
        <f t="shared" si="7"/>
        <v>870</v>
      </c>
      <c r="L17" s="716">
        <f t="shared" si="7"/>
        <v>8033</v>
      </c>
      <c r="M17" s="717">
        <f t="shared" si="7"/>
        <v>5114</v>
      </c>
      <c r="N17" s="718">
        <f t="shared" si="7"/>
        <v>2919</v>
      </c>
      <c r="O17" s="699"/>
    </row>
    <row r="18" spans="1:15" ht="10.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720"/>
      <c r="O18" s="699"/>
    </row>
    <row r="19" spans="1:15" ht="21.75" customHeight="1">
      <c r="A19" s="54" t="s">
        <v>421</v>
      </c>
      <c r="L19" s="18"/>
      <c r="M19" s="18"/>
      <c r="N19" s="18"/>
      <c r="O19" s="699"/>
    </row>
    <row r="20" spans="12:15" ht="15" customHeight="1">
      <c r="L20" s="721"/>
      <c r="M20" s="721"/>
      <c r="N20" s="721"/>
      <c r="O20" s="699"/>
    </row>
    <row r="21" spans="1:14" ht="15" customHeight="1">
      <c r="A21" s="1326" t="s">
        <v>33</v>
      </c>
      <c r="B21" s="1328"/>
      <c r="C21" s="8"/>
      <c r="D21" s="722" t="s">
        <v>176</v>
      </c>
      <c r="E21" s="722"/>
      <c r="F21" s="722"/>
      <c r="G21" s="722"/>
      <c r="H21" s="722"/>
      <c r="I21" s="722"/>
      <c r="J21" s="722"/>
      <c r="K21" s="722"/>
      <c r="L21" s="722"/>
      <c r="M21" s="722"/>
      <c r="N21" s="723"/>
    </row>
    <row r="22" spans="1:14" ht="15" customHeight="1">
      <c r="A22" s="1329"/>
      <c r="B22" s="1331"/>
      <c r="C22" s="1341" t="s">
        <v>177</v>
      </c>
      <c r="D22" s="1342"/>
      <c r="E22" s="1343"/>
      <c r="F22" s="1341" t="s">
        <v>178</v>
      </c>
      <c r="G22" s="1342"/>
      <c r="H22" s="1343"/>
      <c r="I22" s="1341" t="s">
        <v>179</v>
      </c>
      <c r="J22" s="1342"/>
      <c r="K22" s="1343"/>
      <c r="L22" s="1341" t="s">
        <v>5</v>
      </c>
      <c r="M22" s="1342"/>
      <c r="N22" s="1343"/>
    </row>
    <row r="23" spans="1:14" ht="15" customHeight="1">
      <c r="A23" s="1332"/>
      <c r="B23" s="1334"/>
      <c r="C23" s="8" t="s">
        <v>5</v>
      </c>
      <c r="D23" s="700" t="s">
        <v>43</v>
      </c>
      <c r="E23" s="9" t="s">
        <v>44</v>
      </c>
      <c r="F23" s="8" t="s">
        <v>5</v>
      </c>
      <c r="G23" s="700" t="s">
        <v>43</v>
      </c>
      <c r="H23" s="9" t="s">
        <v>44</v>
      </c>
      <c r="I23" s="8" t="s">
        <v>5</v>
      </c>
      <c r="J23" s="700" t="s">
        <v>43</v>
      </c>
      <c r="K23" s="9" t="s">
        <v>44</v>
      </c>
      <c r="L23" s="8" t="s">
        <v>5</v>
      </c>
      <c r="M23" s="700" t="s">
        <v>43</v>
      </c>
      <c r="N23" s="9" t="s">
        <v>44</v>
      </c>
    </row>
    <row r="24" spans="1:14" ht="18.75" customHeight="1">
      <c r="A24" s="13"/>
      <c r="B24" s="712" t="s">
        <v>261</v>
      </c>
      <c r="C24" s="706">
        <f>D24+E24</f>
        <v>1027</v>
      </c>
      <c r="D24" s="707">
        <v>608</v>
      </c>
      <c r="E24" s="708">
        <v>419</v>
      </c>
      <c r="F24" s="706">
        <f>G24+H24</f>
        <v>886</v>
      </c>
      <c r="G24" s="707">
        <v>555</v>
      </c>
      <c r="H24" s="724">
        <v>331</v>
      </c>
      <c r="I24" s="702">
        <f>J24+K24</f>
        <v>811</v>
      </c>
      <c r="J24" s="703">
        <v>509</v>
      </c>
      <c r="K24" s="704">
        <v>302</v>
      </c>
      <c r="L24" s="725">
        <f aca="true" t="shared" si="8" ref="L24:N28">C24+F24+I24</f>
        <v>2724</v>
      </c>
      <c r="M24" s="726">
        <f t="shared" si="8"/>
        <v>1672</v>
      </c>
      <c r="N24" s="724">
        <f t="shared" si="8"/>
        <v>1052</v>
      </c>
    </row>
    <row r="25" spans="1:14" ht="16.5" customHeight="1">
      <c r="A25" s="13"/>
      <c r="B25" s="701" t="s">
        <v>188</v>
      </c>
      <c r="C25" s="702">
        <f>D25+E25</f>
        <v>801</v>
      </c>
      <c r="D25" s="703">
        <v>542</v>
      </c>
      <c r="E25" s="704">
        <v>259</v>
      </c>
      <c r="F25" s="702">
        <f>G25+H25</f>
        <v>709</v>
      </c>
      <c r="G25" s="703">
        <v>479</v>
      </c>
      <c r="H25" s="704">
        <v>230</v>
      </c>
      <c r="I25" s="702">
        <f>J25+K25</f>
        <v>654</v>
      </c>
      <c r="J25" s="703">
        <v>418</v>
      </c>
      <c r="K25" s="704">
        <v>236</v>
      </c>
      <c r="L25" s="727">
        <f t="shared" si="8"/>
        <v>2164</v>
      </c>
      <c r="M25" s="728">
        <f t="shared" si="8"/>
        <v>1439</v>
      </c>
      <c r="N25" s="729">
        <f t="shared" si="8"/>
        <v>725</v>
      </c>
    </row>
    <row r="26" spans="1:14" ht="16.5" customHeight="1">
      <c r="A26" s="13"/>
      <c r="B26" s="701" t="s">
        <v>189</v>
      </c>
      <c r="C26" s="702">
        <f>D26+E26</f>
        <v>600</v>
      </c>
      <c r="D26" s="703">
        <v>385</v>
      </c>
      <c r="E26" s="704">
        <v>215</v>
      </c>
      <c r="F26" s="702">
        <f>G26+H26</f>
        <v>507</v>
      </c>
      <c r="G26" s="703">
        <v>320</v>
      </c>
      <c r="H26" s="704">
        <v>187</v>
      </c>
      <c r="I26" s="702">
        <f>J26+K26</f>
        <v>489</v>
      </c>
      <c r="J26" s="703">
        <v>327</v>
      </c>
      <c r="K26" s="704">
        <v>162</v>
      </c>
      <c r="L26" s="727">
        <f t="shared" si="8"/>
        <v>1596</v>
      </c>
      <c r="M26" s="728">
        <f t="shared" si="8"/>
        <v>1032</v>
      </c>
      <c r="N26" s="729">
        <f t="shared" si="8"/>
        <v>564</v>
      </c>
    </row>
    <row r="27" spans="1:14" ht="16.5" customHeight="1">
      <c r="A27" s="13"/>
      <c r="B27" s="701" t="s">
        <v>190</v>
      </c>
      <c r="C27" s="702">
        <f>D27+E27</f>
        <v>416</v>
      </c>
      <c r="D27" s="703">
        <v>269</v>
      </c>
      <c r="E27" s="704">
        <v>147</v>
      </c>
      <c r="F27" s="702">
        <f>G27+H27</f>
        <v>339</v>
      </c>
      <c r="G27" s="703">
        <v>200</v>
      </c>
      <c r="H27" s="704">
        <v>139</v>
      </c>
      <c r="I27" s="702">
        <f>J27+K27</f>
        <v>335</v>
      </c>
      <c r="J27" s="703">
        <v>222</v>
      </c>
      <c r="K27" s="704">
        <v>113</v>
      </c>
      <c r="L27" s="727">
        <f t="shared" si="8"/>
        <v>1090</v>
      </c>
      <c r="M27" s="728">
        <f t="shared" si="8"/>
        <v>691</v>
      </c>
      <c r="N27" s="729">
        <f t="shared" si="8"/>
        <v>399</v>
      </c>
    </row>
    <row r="28" spans="1:14" ht="16.5" customHeight="1">
      <c r="A28" s="13"/>
      <c r="B28" s="701" t="s">
        <v>191</v>
      </c>
      <c r="C28" s="702">
        <f>D28+E28</f>
        <v>137</v>
      </c>
      <c r="D28" s="703">
        <v>85</v>
      </c>
      <c r="E28" s="704">
        <v>52</v>
      </c>
      <c r="F28" s="702">
        <f>G28+H28</f>
        <v>171</v>
      </c>
      <c r="G28" s="703">
        <v>101</v>
      </c>
      <c r="H28" s="704">
        <v>70</v>
      </c>
      <c r="I28" s="702">
        <f>J28+K28</f>
        <v>151</v>
      </c>
      <c r="J28" s="703">
        <v>94</v>
      </c>
      <c r="K28" s="704">
        <v>57</v>
      </c>
      <c r="L28" s="727">
        <f t="shared" si="8"/>
        <v>459</v>
      </c>
      <c r="M28" s="728">
        <f t="shared" si="8"/>
        <v>280</v>
      </c>
      <c r="N28" s="729">
        <f t="shared" si="8"/>
        <v>179</v>
      </c>
    </row>
    <row r="29" spans="1:16" ht="18" customHeight="1">
      <c r="A29" s="24"/>
      <c r="B29" s="715" t="s">
        <v>192</v>
      </c>
      <c r="C29" s="716">
        <f aca="true" t="shared" si="9" ref="C29:N29">SUM(C24:C28)</f>
        <v>2981</v>
      </c>
      <c r="D29" s="717">
        <f t="shared" si="9"/>
        <v>1889</v>
      </c>
      <c r="E29" s="718">
        <f t="shared" si="9"/>
        <v>1092</v>
      </c>
      <c r="F29" s="719">
        <f t="shared" si="9"/>
        <v>2612</v>
      </c>
      <c r="G29" s="717">
        <f>SUM(G24:G28)</f>
        <v>1655</v>
      </c>
      <c r="H29" s="718">
        <f>SUM(H24:H28)</f>
        <v>957</v>
      </c>
      <c r="I29" s="719">
        <f t="shared" si="9"/>
        <v>2440</v>
      </c>
      <c r="J29" s="717">
        <f t="shared" si="9"/>
        <v>1570</v>
      </c>
      <c r="K29" s="718">
        <f t="shared" si="9"/>
        <v>870</v>
      </c>
      <c r="L29" s="716">
        <f t="shared" si="9"/>
        <v>8033</v>
      </c>
      <c r="M29" s="717">
        <f t="shared" si="9"/>
        <v>5114</v>
      </c>
      <c r="N29" s="718">
        <f t="shared" si="9"/>
        <v>2919</v>
      </c>
      <c r="P29" s="730"/>
    </row>
    <row r="30" spans="2:15" s="53" customFormat="1" ht="15" customHeight="1">
      <c r="B30" s="80"/>
      <c r="O30" s="731"/>
    </row>
  </sheetData>
  <sheetProtection/>
  <mergeCells count="11">
    <mergeCell ref="A3:B5"/>
    <mergeCell ref="A21:B23"/>
    <mergeCell ref="C4:E4"/>
    <mergeCell ref="F4:H4"/>
    <mergeCell ref="C22:E22"/>
    <mergeCell ref="F22:H22"/>
    <mergeCell ref="L22:N22"/>
    <mergeCell ref="C3:N3"/>
    <mergeCell ref="I4:K4"/>
    <mergeCell ref="L4:N4"/>
    <mergeCell ref="I22:K22"/>
  </mergeCells>
  <printOptions/>
  <pageMargins left="0.5" right="0.25" top="0.73" bottom="0.37" header="0.4" footer="0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21"/>
  <sheetViews>
    <sheetView zoomScalePageLayoutView="0" workbookViewId="0" topLeftCell="A1">
      <selection activeCell="S7" sqref="S7:T9"/>
    </sheetView>
  </sheetViews>
  <sheetFormatPr defaultColWidth="9.140625" defaultRowHeight="12.75"/>
  <cols>
    <col min="1" max="1" width="2.28125" style="1082" customWidth="1"/>
    <col min="2" max="2" width="11.28125" style="1082" customWidth="1"/>
    <col min="3" max="8" width="7.8515625" style="1082" hidden="1" customWidth="1"/>
    <col min="9" max="11" width="8.57421875" style="1082" hidden="1" customWidth="1"/>
    <col min="12" max="20" width="8.57421875" style="1082" customWidth="1"/>
    <col min="21" max="16384" width="9.140625" style="1082" customWidth="1"/>
  </cols>
  <sheetData>
    <row r="1" s="1081" customFormat="1" ht="18" customHeight="1">
      <c r="A1" s="1080" t="s">
        <v>334</v>
      </c>
    </row>
    <row r="2" ht="20.25" customHeight="1">
      <c r="A2" s="1081" t="s">
        <v>422</v>
      </c>
    </row>
    <row r="3" ht="12.75" customHeight="1"/>
    <row r="4" spans="1:20" s="1086" customFormat="1" ht="30" customHeight="1">
      <c r="A4" s="1481" t="s">
        <v>280</v>
      </c>
      <c r="B4" s="1482"/>
      <c r="C4" s="1083">
        <v>2004</v>
      </c>
      <c r="D4" s="1084"/>
      <c r="E4" s="1085"/>
      <c r="F4" s="1083">
        <v>2005</v>
      </c>
      <c r="G4" s="1084"/>
      <c r="H4" s="1085"/>
      <c r="I4" s="1083">
        <v>2006</v>
      </c>
      <c r="J4" s="1084"/>
      <c r="K4" s="1085"/>
      <c r="L4" s="1485">
        <v>2007</v>
      </c>
      <c r="M4" s="1486"/>
      <c r="N4" s="1487"/>
      <c r="O4" s="1083">
        <v>2008</v>
      </c>
      <c r="P4" s="1084"/>
      <c r="Q4" s="1085"/>
      <c r="R4" s="1083">
        <v>2009</v>
      </c>
      <c r="S4" s="1084"/>
      <c r="T4" s="1085"/>
    </row>
    <row r="5" spans="1:20" s="1086" customFormat="1" ht="30" customHeight="1">
      <c r="A5" s="1483"/>
      <c r="B5" s="1484"/>
      <c r="C5" s="1087" t="s">
        <v>5</v>
      </c>
      <c r="D5" s="1088" t="s">
        <v>43</v>
      </c>
      <c r="E5" s="1089" t="s">
        <v>44</v>
      </c>
      <c r="F5" s="1087" t="s">
        <v>5</v>
      </c>
      <c r="G5" s="1088" t="s">
        <v>43</v>
      </c>
      <c r="H5" s="1089" t="s">
        <v>44</v>
      </c>
      <c r="I5" s="1087" t="s">
        <v>5</v>
      </c>
      <c r="J5" s="1088" t="s">
        <v>43</v>
      </c>
      <c r="K5" s="1089" t="s">
        <v>44</v>
      </c>
      <c r="L5" s="1087" t="s">
        <v>5</v>
      </c>
      <c r="M5" s="1088" t="s">
        <v>43</v>
      </c>
      <c r="N5" s="1220" t="s">
        <v>44</v>
      </c>
      <c r="O5" s="1087" t="s">
        <v>5</v>
      </c>
      <c r="P5" s="1088" t="s">
        <v>43</v>
      </c>
      <c r="Q5" s="1089" t="s">
        <v>44</v>
      </c>
      <c r="R5" s="1087" t="s">
        <v>5</v>
      </c>
      <c r="S5" s="1088" t="s">
        <v>43</v>
      </c>
      <c r="T5" s="1089" t="s">
        <v>44</v>
      </c>
    </row>
    <row r="6" spans="1:20" s="1094" customFormat="1" ht="46.5" customHeight="1">
      <c r="A6" s="1090" t="s">
        <v>50</v>
      </c>
      <c r="B6" s="1091"/>
      <c r="C6" s="1092"/>
      <c r="D6" s="1092"/>
      <c r="E6" s="1092"/>
      <c r="F6" s="1093"/>
      <c r="G6" s="1093"/>
      <c r="H6" s="1093"/>
      <c r="K6" s="1092"/>
      <c r="N6" s="1093"/>
      <c r="O6" s="1093"/>
      <c r="P6" s="1093"/>
      <c r="Q6" s="1093"/>
      <c r="R6" s="1092"/>
      <c r="T6" s="1095"/>
    </row>
    <row r="7" spans="1:20" s="1086" customFormat="1" ht="45" customHeight="1">
      <c r="A7" s="1096" t="s">
        <v>102</v>
      </c>
      <c r="B7" s="1097" t="s">
        <v>87</v>
      </c>
      <c r="C7" s="1098">
        <f>E7+D7</f>
        <v>3641</v>
      </c>
      <c r="D7" s="1099">
        <v>2302</v>
      </c>
      <c r="E7" s="1100">
        <v>1339</v>
      </c>
      <c r="F7" s="1098">
        <f>H7+G7</f>
        <v>4164</v>
      </c>
      <c r="G7" s="1099">
        <v>2583</v>
      </c>
      <c r="H7" s="1100">
        <v>1581</v>
      </c>
      <c r="I7" s="1098">
        <f>K7+J7</f>
        <v>3747</v>
      </c>
      <c r="J7" s="1099">
        <v>2273</v>
      </c>
      <c r="K7" s="1100">
        <v>1474</v>
      </c>
      <c r="L7" s="1098">
        <f>N7+M7</f>
        <v>3146</v>
      </c>
      <c r="M7" s="1099">
        <v>1978</v>
      </c>
      <c r="N7" s="1100">
        <v>1168</v>
      </c>
      <c r="O7" s="1098">
        <f>Q7+P7</f>
        <v>2971</v>
      </c>
      <c r="P7" s="1099">
        <v>1869</v>
      </c>
      <c r="Q7" s="1100">
        <v>1102</v>
      </c>
      <c r="R7" s="1098">
        <f>T7+S7</f>
        <v>2981</v>
      </c>
      <c r="S7" s="1099">
        <v>1889</v>
      </c>
      <c r="T7" s="1100">
        <v>1092</v>
      </c>
    </row>
    <row r="8" spans="1:20" s="1086" customFormat="1" ht="45" customHeight="1">
      <c r="A8" s="1101"/>
      <c r="B8" s="1102" t="s">
        <v>88</v>
      </c>
      <c r="C8" s="1103">
        <f>E8+D8</f>
        <v>2866</v>
      </c>
      <c r="D8" s="1104">
        <v>1833</v>
      </c>
      <c r="E8" s="1105">
        <v>1033</v>
      </c>
      <c r="F8" s="1103">
        <f>H8+G8</f>
        <v>3208</v>
      </c>
      <c r="G8" s="1104">
        <v>2014</v>
      </c>
      <c r="H8" s="1105">
        <v>1194</v>
      </c>
      <c r="I8" s="1103">
        <f>K8+J8</f>
        <v>3788</v>
      </c>
      <c r="J8" s="1104">
        <v>2321</v>
      </c>
      <c r="K8" s="1105">
        <v>1467</v>
      </c>
      <c r="L8" s="1103">
        <f>N8+M8</f>
        <v>3192</v>
      </c>
      <c r="M8" s="1104">
        <v>1972</v>
      </c>
      <c r="N8" s="1105">
        <v>1220</v>
      </c>
      <c r="O8" s="1103">
        <f>Q8+P8</f>
        <v>2858</v>
      </c>
      <c r="P8" s="1104">
        <v>1787</v>
      </c>
      <c r="Q8" s="1105">
        <v>1071</v>
      </c>
      <c r="R8" s="1103">
        <f>T8+S8</f>
        <v>2612</v>
      </c>
      <c r="S8" s="1104">
        <v>1655</v>
      </c>
      <c r="T8" s="1105">
        <v>957</v>
      </c>
    </row>
    <row r="9" spans="1:20" s="1086" customFormat="1" ht="45" customHeight="1">
      <c r="A9" s="1101"/>
      <c r="B9" s="1106" t="s">
        <v>89</v>
      </c>
      <c r="C9" s="1107">
        <f>E9+D9</f>
        <v>1981</v>
      </c>
      <c r="D9" s="1108">
        <v>1322</v>
      </c>
      <c r="E9" s="1109">
        <v>659</v>
      </c>
      <c r="F9" s="1107">
        <f>H9+G9</f>
        <v>2473</v>
      </c>
      <c r="G9" s="1108">
        <v>1524</v>
      </c>
      <c r="H9" s="1109">
        <v>949</v>
      </c>
      <c r="I9" s="1107">
        <f>K9+J9</f>
        <v>2889</v>
      </c>
      <c r="J9" s="1108">
        <v>1805</v>
      </c>
      <c r="K9" s="1109">
        <v>1084</v>
      </c>
      <c r="L9" s="1107">
        <f>N9+M9</f>
        <v>3235</v>
      </c>
      <c r="M9" s="1108">
        <v>2007</v>
      </c>
      <c r="N9" s="1109">
        <v>1228</v>
      </c>
      <c r="O9" s="1107">
        <f>Q9+P9</f>
        <v>2666</v>
      </c>
      <c r="P9" s="1108">
        <v>1680</v>
      </c>
      <c r="Q9" s="1109">
        <v>986</v>
      </c>
      <c r="R9" s="1107">
        <f>T9+S9</f>
        <v>2440</v>
      </c>
      <c r="S9" s="1108">
        <v>1570</v>
      </c>
      <c r="T9" s="1109">
        <v>870</v>
      </c>
    </row>
    <row r="10" spans="1:20" s="1086" customFormat="1" ht="45" customHeight="1">
      <c r="A10" s="1479" t="s">
        <v>5</v>
      </c>
      <c r="B10" s="1480"/>
      <c r="C10" s="1107">
        <f aca="true" t="shared" si="0" ref="C10:N10">SUM(C7:C9)</f>
        <v>8488</v>
      </c>
      <c r="D10" s="1108">
        <f t="shared" si="0"/>
        <v>5457</v>
      </c>
      <c r="E10" s="1110">
        <f t="shared" si="0"/>
        <v>3031</v>
      </c>
      <c r="F10" s="1107">
        <f t="shared" si="0"/>
        <v>9845</v>
      </c>
      <c r="G10" s="1108">
        <f t="shared" si="0"/>
        <v>6121</v>
      </c>
      <c r="H10" s="1110">
        <f t="shared" si="0"/>
        <v>3724</v>
      </c>
      <c r="I10" s="1107">
        <f t="shared" si="0"/>
        <v>10424</v>
      </c>
      <c r="J10" s="1108">
        <f t="shared" si="0"/>
        <v>6399</v>
      </c>
      <c r="K10" s="1110">
        <f t="shared" si="0"/>
        <v>4025</v>
      </c>
      <c r="L10" s="1107">
        <f t="shared" si="0"/>
        <v>9573</v>
      </c>
      <c r="M10" s="1108">
        <f t="shared" si="0"/>
        <v>5957</v>
      </c>
      <c r="N10" s="1110">
        <f t="shared" si="0"/>
        <v>3616</v>
      </c>
      <c r="O10" s="1107">
        <f aca="true" t="shared" si="1" ref="O10:T10">SUM(O7:O9)</f>
        <v>8495</v>
      </c>
      <c r="P10" s="1108">
        <f t="shared" si="1"/>
        <v>5336</v>
      </c>
      <c r="Q10" s="1110">
        <f t="shared" si="1"/>
        <v>3159</v>
      </c>
      <c r="R10" s="1107">
        <f t="shared" si="1"/>
        <v>8033</v>
      </c>
      <c r="S10" s="1108">
        <f t="shared" si="1"/>
        <v>5114</v>
      </c>
      <c r="T10" s="1110">
        <f t="shared" si="1"/>
        <v>2919</v>
      </c>
    </row>
    <row r="11" spans="1:20" s="1086" customFormat="1" ht="46.5" customHeight="1">
      <c r="A11" s="1090" t="s">
        <v>48</v>
      </c>
      <c r="B11" s="1111"/>
      <c r="C11" s="1112"/>
      <c r="D11" s="1113"/>
      <c r="E11" s="1112"/>
      <c r="F11" s="1114"/>
      <c r="G11" s="1114"/>
      <c r="H11" s="1115"/>
      <c r="I11" s="1114"/>
      <c r="J11" s="1114"/>
      <c r="K11" s="1115"/>
      <c r="L11" s="1114"/>
      <c r="M11" s="1114"/>
      <c r="N11" s="1115"/>
      <c r="O11" s="1115"/>
      <c r="P11" s="1115"/>
      <c r="Q11" s="1115"/>
      <c r="R11" s="1114"/>
      <c r="S11" s="1114"/>
      <c r="T11" s="1116"/>
    </row>
    <row r="12" spans="1:23" s="1086" customFormat="1" ht="45" customHeight="1">
      <c r="A12" s="1096" t="s">
        <v>102</v>
      </c>
      <c r="B12" s="1097" t="s">
        <v>87</v>
      </c>
      <c r="C12" s="1098">
        <f>E12+D12</f>
        <v>3467</v>
      </c>
      <c r="D12" s="1099">
        <v>2203</v>
      </c>
      <c r="E12" s="1117">
        <v>1264</v>
      </c>
      <c r="F12" s="1098">
        <f>H12+G12</f>
        <v>3971</v>
      </c>
      <c r="G12" s="1099">
        <v>2454</v>
      </c>
      <c r="H12" s="1117">
        <v>1517</v>
      </c>
      <c r="I12" s="1098">
        <f>K12+J12</f>
        <v>3560</v>
      </c>
      <c r="J12" s="1099">
        <v>2173</v>
      </c>
      <c r="K12" s="1117">
        <v>1387</v>
      </c>
      <c r="L12" s="1098">
        <f>N12+M12</f>
        <v>2961</v>
      </c>
      <c r="M12" s="1099">
        <v>1866</v>
      </c>
      <c r="N12" s="1117">
        <v>1095</v>
      </c>
      <c r="O12" s="1098">
        <f>Q12+P12</f>
        <v>2794</v>
      </c>
      <c r="P12" s="1099">
        <v>1766</v>
      </c>
      <c r="Q12" s="1100">
        <v>1028</v>
      </c>
      <c r="R12" s="1098">
        <f>T12+S12</f>
        <v>2844</v>
      </c>
      <c r="S12" s="1099">
        <v>1804</v>
      </c>
      <c r="T12" s="1100">
        <v>1040</v>
      </c>
      <c r="V12" s="1130"/>
      <c r="W12" s="1123"/>
    </row>
    <row r="13" spans="1:23" s="1086" customFormat="1" ht="45" customHeight="1">
      <c r="A13" s="1101"/>
      <c r="B13" s="1102" t="s">
        <v>88</v>
      </c>
      <c r="C13" s="1103">
        <f>E13+D13</f>
        <v>2725</v>
      </c>
      <c r="D13" s="1104">
        <v>1743</v>
      </c>
      <c r="E13" s="1105">
        <v>982</v>
      </c>
      <c r="F13" s="1103">
        <f>H13+G13</f>
        <v>3045</v>
      </c>
      <c r="G13" s="1104">
        <v>1922</v>
      </c>
      <c r="H13" s="1105">
        <v>1123</v>
      </c>
      <c r="I13" s="1103">
        <f>K13+J13</f>
        <v>3608</v>
      </c>
      <c r="J13" s="1104">
        <v>2204</v>
      </c>
      <c r="K13" s="1105">
        <v>1404</v>
      </c>
      <c r="L13" s="1103">
        <f>N13+M13</f>
        <v>3023</v>
      </c>
      <c r="M13" s="1104">
        <v>1884</v>
      </c>
      <c r="N13" s="1105">
        <v>1139</v>
      </c>
      <c r="O13" s="1103">
        <f>Q13+P13</f>
        <v>2696</v>
      </c>
      <c r="P13" s="1104">
        <v>1685</v>
      </c>
      <c r="Q13" s="1105">
        <v>1011</v>
      </c>
      <c r="R13" s="1103">
        <f>T13+S13</f>
        <v>2441</v>
      </c>
      <c r="S13" s="1104">
        <v>1554</v>
      </c>
      <c r="T13" s="1105">
        <v>887</v>
      </c>
      <c r="V13" s="1130"/>
      <c r="W13" s="1123"/>
    </row>
    <row r="14" spans="1:23" s="1086" customFormat="1" ht="45" customHeight="1">
      <c r="A14" s="1101"/>
      <c r="B14" s="1106" t="s">
        <v>89</v>
      </c>
      <c r="C14" s="1107">
        <f>E14+D14</f>
        <v>1856</v>
      </c>
      <c r="D14" s="1108">
        <v>1234</v>
      </c>
      <c r="E14" s="1109">
        <v>622</v>
      </c>
      <c r="F14" s="1107">
        <f>H14+G14</f>
        <v>2350</v>
      </c>
      <c r="G14" s="1108">
        <v>1444</v>
      </c>
      <c r="H14" s="1109">
        <v>906</v>
      </c>
      <c r="I14" s="1107">
        <f>K14+J14</f>
        <v>2735</v>
      </c>
      <c r="J14" s="1108">
        <v>1718</v>
      </c>
      <c r="K14" s="1109">
        <v>1017</v>
      </c>
      <c r="L14" s="1107">
        <f>N14+M14</f>
        <v>3087</v>
      </c>
      <c r="M14" s="1108">
        <v>1905</v>
      </c>
      <c r="N14" s="1109">
        <v>1182</v>
      </c>
      <c r="O14" s="1107">
        <f>Q14+P14</f>
        <v>2521</v>
      </c>
      <c r="P14" s="1108">
        <v>1602</v>
      </c>
      <c r="Q14" s="1109">
        <v>919</v>
      </c>
      <c r="R14" s="1107">
        <f>T14+S14</f>
        <v>2289</v>
      </c>
      <c r="S14" s="1108">
        <v>1476</v>
      </c>
      <c r="T14" s="1109">
        <v>813</v>
      </c>
      <c r="V14" s="1130"/>
      <c r="W14" s="1123"/>
    </row>
    <row r="15" spans="1:23" s="1086" customFormat="1" ht="45" customHeight="1">
      <c r="A15" s="1479" t="s">
        <v>5</v>
      </c>
      <c r="B15" s="1480"/>
      <c r="C15" s="1107">
        <f aca="true" t="shared" si="2" ref="C15:N15">SUM(C12:C14)</f>
        <v>8048</v>
      </c>
      <c r="D15" s="1108">
        <f t="shared" si="2"/>
        <v>5180</v>
      </c>
      <c r="E15" s="1118">
        <f t="shared" si="2"/>
        <v>2868</v>
      </c>
      <c r="F15" s="1107">
        <f t="shared" si="2"/>
        <v>9366</v>
      </c>
      <c r="G15" s="1108">
        <f t="shared" si="2"/>
        <v>5820</v>
      </c>
      <c r="H15" s="1118">
        <f t="shared" si="2"/>
        <v>3546</v>
      </c>
      <c r="I15" s="1107">
        <f t="shared" si="2"/>
        <v>9903</v>
      </c>
      <c r="J15" s="1108">
        <f t="shared" si="2"/>
        <v>6095</v>
      </c>
      <c r="K15" s="1118">
        <f t="shared" si="2"/>
        <v>3808</v>
      </c>
      <c r="L15" s="1107">
        <f t="shared" si="2"/>
        <v>9071</v>
      </c>
      <c r="M15" s="1108">
        <f t="shared" si="2"/>
        <v>5655</v>
      </c>
      <c r="N15" s="1118">
        <f t="shared" si="2"/>
        <v>3416</v>
      </c>
      <c r="O15" s="1107">
        <f aca="true" t="shared" si="3" ref="O15:T15">SUM(O12:O14)</f>
        <v>8011</v>
      </c>
      <c r="P15" s="1108">
        <f t="shared" si="3"/>
        <v>5053</v>
      </c>
      <c r="Q15" s="1118">
        <f t="shared" si="3"/>
        <v>2958</v>
      </c>
      <c r="R15" s="1107">
        <f t="shared" si="3"/>
        <v>7574</v>
      </c>
      <c r="S15" s="1108">
        <f t="shared" si="3"/>
        <v>4834</v>
      </c>
      <c r="T15" s="1118">
        <f t="shared" si="3"/>
        <v>2740</v>
      </c>
      <c r="V15" s="1130"/>
      <c r="W15" s="1130"/>
    </row>
    <row r="16" spans="1:23" s="1086" customFormat="1" ht="45.75" customHeight="1">
      <c r="A16" s="1119" t="s">
        <v>49</v>
      </c>
      <c r="B16" s="1083"/>
      <c r="C16" s="1112"/>
      <c r="D16" s="1113"/>
      <c r="E16" s="1112"/>
      <c r="F16" s="1120"/>
      <c r="G16" s="1120"/>
      <c r="H16" s="1115"/>
      <c r="I16" s="1120"/>
      <c r="J16" s="1120"/>
      <c r="K16" s="1115"/>
      <c r="L16" s="1120"/>
      <c r="M16" s="1120"/>
      <c r="N16" s="1115"/>
      <c r="O16" s="1115"/>
      <c r="P16" s="1115"/>
      <c r="Q16" s="1115"/>
      <c r="R16" s="1120"/>
      <c r="S16" s="1120"/>
      <c r="T16" s="1116"/>
      <c r="V16" s="1131"/>
      <c r="W16" s="1131"/>
    </row>
    <row r="17" spans="1:20" s="1086" customFormat="1" ht="45" customHeight="1">
      <c r="A17" s="1096" t="s">
        <v>102</v>
      </c>
      <c r="B17" s="1097" t="s">
        <v>87</v>
      </c>
      <c r="C17" s="1121">
        <f aca="true" t="shared" si="4" ref="C17:E20">C7-C12</f>
        <v>174</v>
      </c>
      <c r="D17" s="1122">
        <f t="shared" si="4"/>
        <v>99</v>
      </c>
      <c r="E17" s="1100">
        <f t="shared" si="4"/>
        <v>75</v>
      </c>
      <c r="F17" s="1121">
        <f aca="true" t="shared" si="5" ref="F17:Q17">F7-F12</f>
        <v>193</v>
      </c>
      <c r="G17" s="1122">
        <f t="shared" si="5"/>
        <v>129</v>
      </c>
      <c r="H17" s="1100">
        <f t="shared" si="5"/>
        <v>64</v>
      </c>
      <c r="I17" s="1121">
        <f t="shared" si="5"/>
        <v>187</v>
      </c>
      <c r="J17" s="1122">
        <f t="shared" si="5"/>
        <v>100</v>
      </c>
      <c r="K17" s="1100">
        <f t="shared" si="5"/>
        <v>87</v>
      </c>
      <c r="L17" s="1121">
        <f t="shared" si="5"/>
        <v>185</v>
      </c>
      <c r="M17" s="1122">
        <f t="shared" si="5"/>
        <v>112</v>
      </c>
      <c r="N17" s="1100">
        <f t="shared" si="5"/>
        <v>73</v>
      </c>
      <c r="O17" s="1121">
        <f t="shared" si="5"/>
        <v>177</v>
      </c>
      <c r="P17" s="1122">
        <f t="shared" si="5"/>
        <v>103</v>
      </c>
      <c r="Q17" s="1100">
        <f t="shared" si="5"/>
        <v>74</v>
      </c>
      <c r="R17" s="1121">
        <f aca="true" t="shared" si="6" ref="R17:T20">R7-R12</f>
        <v>137</v>
      </c>
      <c r="S17" s="1122">
        <f t="shared" si="6"/>
        <v>85</v>
      </c>
      <c r="T17" s="1100">
        <f t="shared" si="6"/>
        <v>52</v>
      </c>
    </row>
    <row r="18" spans="1:20" s="1086" customFormat="1" ht="45" customHeight="1">
      <c r="A18" s="1101"/>
      <c r="B18" s="1102" t="s">
        <v>88</v>
      </c>
      <c r="C18" s="1123">
        <f t="shared" si="4"/>
        <v>141</v>
      </c>
      <c r="D18" s="1124">
        <f t="shared" si="4"/>
        <v>90</v>
      </c>
      <c r="E18" s="1105">
        <f t="shared" si="4"/>
        <v>51</v>
      </c>
      <c r="F18" s="1123">
        <f aca="true" t="shared" si="7" ref="F18:Q18">F8-F13</f>
        <v>163</v>
      </c>
      <c r="G18" s="1124">
        <f t="shared" si="7"/>
        <v>92</v>
      </c>
      <c r="H18" s="1105">
        <f t="shared" si="7"/>
        <v>71</v>
      </c>
      <c r="I18" s="1123">
        <f t="shared" si="7"/>
        <v>180</v>
      </c>
      <c r="J18" s="1124">
        <f t="shared" si="7"/>
        <v>117</v>
      </c>
      <c r="K18" s="1105">
        <f t="shared" si="7"/>
        <v>63</v>
      </c>
      <c r="L18" s="1123">
        <f t="shared" si="7"/>
        <v>169</v>
      </c>
      <c r="M18" s="1124">
        <f t="shared" si="7"/>
        <v>88</v>
      </c>
      <c r="N18" s="1105">
        <f t="shared" si="7"/>
        <v>81</v>
      </c>
      <c r="O18" s="1123">
        <f t="shared" si="7"/>
        <v>162</v>
      </c>
      <c r="P18" s="1124">
        <f t="shared" si="7"/>
        <v>102</v>
      </c>
      <c r="Q18" s="1105">
        <f t="shared" si="7"/>
        <v>60</v>
      </c>
      <c r="R18" s="1123">
        <f t="shared" si="6"/>
        <v>171</v>
      </c>
      <c r="S18" s="1124">
        <f t="shared" si="6"/>
        <v>101</v>
      </c>
      <c r="T18" s="1105">
        <f t="shared" si="6"/>
        <v>70</v>
      </c>
    </row>
    <row r="19" spans="1:20" s="1086" customFormat="1" ht="45" customHeight="1">
      <c r="A19" s="1101"/>
      <c r="B19" s="1102" t="s">
        <v>89</v>
      </c>
      <c r="C19" s="1125">
        <f t="shared" si="4"/>
        <v>125</v>
      </c>
      <c r="D19" s="1126">
        <f t="shared" si="4"/>
        <v>88</v>
      </c>
      <c r="E19" s="1109">
        <f t="shared" si="4"/>
        <v>37</v>
      </c>
      <c r="F19" s="1125">
        <f aca="true" t="shared" si="8" ref="F19:Q19">F9-F14</f>
        <v>123</v>
      </c>
      <c r="G19" s="1126">
        <f t="shared" si="8"/>
        <v>80</v>
      </c>
      <c r="H19" s="1109">
        <f t="shared" si="8"/>
        <v>43</v>
      </c>
      <c r="I19" s="1125">
        <f t="shared" si="8"/>
        <v>154</v>
      </c>
      <c r="J19" s="1126">
        <f t="shared" si="8"/>
        <v>87</v>
      </c>
      <c r="K19" s="1109">
        <f t="shared" si="8"/>
        <v>67</v>
      </c>
      <c r="L19" s="1125">
        <f t="shared" si="8"/>
        <v>148</v>
      </c>
      <c r="M19" s="1126">
        <f t="shared" si="8"/>
        <v>102</v>
      </c>
      <c r="N19" s="1109">
        <f t="shared" si="8"/>
        <v>46</v>
      </c>
      <c r="O19" s="1125">
        <f t="shared" si="8"/>
        <v>145</v>
      </c>
      <c r="P19" s="1126">
        <f t="shared" si="8"/>
        <v>78</v>
      </c>
      <c r="Q19" s="1109">
        <f t="shared" si="8"/>
        <v>67</v>
      </c>
      <c r="R19" s="1125">
        <f t="shared" si="6"/>
        <v>151</v>
      </c>
      <c r="S19" s="1126">
        <f t="shared" si="6"/>
        <v>94</v>
      </c>
      <c r="T19" s="1109">
        <f t="shared" si="6"/>
        <v>57</v>
      </c>
    </row>
    <row r="20" spans="1:20" s="1086" customFormat="1" ht="45" customHeight="1">
      <c r="A20" s="1479" t="s">
        <v>5</v>
      </c>
      <c r="B20" s="1480"/>
      <c r="C20" s="1125">
        <f t="shared" si="4"/>
        <v>440</v>
      </c>
      <c r="D20" s="1126">
        <f t="shared" si="4"/>
        <v>277</v>
      </c>
      <c r="E20" s="1109">
        <f t="shared" si="4"/>
        <v>163</v>
      </c>
      <c r="F20" s="1125">
        <f aca="true" t="shared" si="9" ref="F20:Q20">F10-F15</f>
        <v>479</v>
      </c>
      <c r="G20" s="1126">
        <f t="shared" si="9"/>
        <v>301</v>
      </c>
      <c r="H20" s="1109">
        <f t="shared" si="9"/>
        <v>178</v>
      </c>
      <c r="I20" s="1125">
        <f t="shared" si="9"/>
        <v>521</v>
      </c>
      <c r="J20" s="1126">
        <f t="shared" si="9"/>
        <v>304</v>
      </c>
      <c r="K20" s="1109">
        <f t="shared" si="9"/>
        <v>217</v>
      </c>
      <c r="L20" s="1125">
        <f t="shared" si="9"/>
        <v>502</v>
      </c>
      <c r="M20" s="1126">
        <f t="shared" si="9"/>
        <v>302</v>
      </c>
      <c r="N20" s="1109">
        <f t="shared" si="9"/>
        <v>200</v>
      </c>
      <c r="O20" s="1125">
        <f t="shared" si="9"/>
        <v>484</v>
      </c>
      <c r="P20" s="1126">
        <f t="shared" si="9"/>
        <v>283</v>
      </c>
      <c r="Q20" s="1109">
        <f t="shared" si="9"/>
        <v>201</v>
      </c>
      <c r="R20" s="1125">
        <f t="shared" si="6"/>
        <v>459</v>
      </c>
      <c r="S20" s="1126">
        <f t="shared" si="6"/>
        <v>280</v>
      </c>
      <c r="T20" s="1109">
        <f t="shared" si="6"/>
        <v>179</v>
      </c>
    </row>
    <row r="21" spans="1:2" s="1129" customFormat="1" ht="19.5" customHeight="1">
      <c r="A21" s="1127"/>
      <c r="B21" s="1128"/>
    </row>
  </sheetData>
  <sheetProtection/>
  <mergeCells count="5">
    <mergeCell ref="A10:B10"/>
    <mergeCell ref="A15:B15"/>
    <mergeCell ref="A20:B20"/>
    <mergeCell ref="A4:B5"/>
    <mergeCell ref="L4:N4"/>
  </mergeCells>
  <printOptions/>
  <pageMargins left="0.45" right="0.65" top="0.75" bottom="0" header="0.5" footer="0"/>
  <pageSetup horizontalDpi="600" verticalDpi="600" orientation="portrait" paperSize="9" r:id="rId1"/>
  <headerFooter alignWithMargins="0">
    <oddHeader>&amp;C&amp;"Times New Roman,Regular"&amp;11- 27 -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S19" sqref="S19"/>
    </sheetView>
  </sheetViews>
  <sheetFormatPr defaultColWidth="9.140625" defaultRowHeight="12.75"/>
  <cols>
    <col min="1" max="1" width="1.57421875" style="1025" customWidth="1"/>
    <col min="2" max="2" width="15.00390625" style="1025" customWidth="1"/>
    <col min="3" max="8" width="8.140625" style="1025" hidden="1" customWidth="1"/>
    <col min="9" max="11" width="8.28125" style="1025" hidden="1" customWidth="1"/>
    <col min="12" max="13" width="8.28125" style="1025" customWidth="1"/>
    <col min="14" max="17" width="8.28125" style="1026" customWidth="1"/>
    <col min="18" max="19" width="8.28125" style="1025" customWidth="1"/>
    <col min="20" max="20" width="8.28125" style="1026" customWidth="1"/>
    <col min="21" max="16384" width="9.140625" style="1025" customWidth="1"/>
  </cols>
  <sheetData>
    <row r="1" spans="1:20" s="1022" customFormat="1" ht="18" customHeight="1">
      <c r="A1" s="1021" t="s">
        <v>333</v>
      </c>
      <c r="N1" s="1023"/>
      <c r="O1" s="1023"/>
      <c r="P1" s="1023"/>
      <c r="Q1" s="1023"/>
      <c r="T1" s="1023"/>
    </row>
    <row r="2" spans="1:20" s="1022" customFormat="1" ht="16.5" customHeight="1">
      <c r="A2" s="1021"/>
      <c r="B2" s="1022" t="s">
        <v>423</v>
      </c>
      <c r="N2" s="1023"/>
      <c r="O2" s="1023"/>
      <c r="P2" s="1023"/>
      <c r="Q2" s="1023"/>
      <c r="T2" s="1023"/>
    </row>
    <row r="3" spans="1:20" s="1022" customFormat="1" ht="24.75" customHeight="1">
      <c r="A3" s="1024" t="s">
        <v>105</v>
      </c>
      <c r="N3" s="1023"/>
      <c r="O3" s="1023"/>
      <c r="P3" s="1023"/>
      <c r="Q3" s="1023"/>
      <c r="T3" s="1023"/>
    </row>
    <row r="4" ht="12.75" customHeight="1"/>
    <row r="5" spans="1:20" s="1030" customFormat="1" ht="20.25" customHeight="1">
      <c r="A5" s="1488" t="s">
        <v>280</v>
      </c>
      <c r="B5" s="1489"/>
      <c r="C5" s="1027">
        <v>2004</v>
      </c>
      <c r="D5" s="1028"/>
      <c r="E5" s="1029"/>
      <c r="F5" s="1027">
        <v>2005</v>
      </c>
      <c r="G5" s="1028"/>
      <c r="H5" s="1029"/>
      <c r="I5" s="1027">
        <v>2006</v>
      </c>
      <c r="J5" s="1028"/>
      <c r="K5" s="1029"/>
      <c r="L5" s="1492">
        <v>2007</v>
      </c>
      <c r="M5" s="1493"/>
      <c r="N5" s="1494"/>
      <c r="O5" s="1027">
        <v>2008</v>
      </c>
      <c r="P5" s="1028"/>
      <c r="Q5" s="1029"/>
      <c r="R5" s="1027">
        <v>2009</v>
      </c>
      <c r="S5" s="1028"/>
      <c r="T5" s="1029"/>
    </row>
    <row r="6" spans="1:20" s="1030" customFormat="1" ht="26.25" customHeight="1">
      <c r="A6" s="1490"/>
      <c r="B6" s="1491"/>
      <c r="C6" s="1031" t="s">
        <v>5</v>
      </c>
      <c r="D6" s="1032" t="s">
        <v>43</v>
      </c>
      <c r="E6" s="1033" t="s">
        <v>44</v>
      </c>
      <c r="F6" s="1031" t="s">
        <v>5</v>
      </c>
      <c r="G6" s="1032" t="s">
        <v>43</v>
      </c>
      <c r="H6" s="1033" t="s">
        <v>44</v>
      </c>
      <c r="I6" s="1031" t="s">
        <v>5</v>
      </c>
      <c r="J6" s="1032" t="s">
        <v>43</v>
      </c>
      <c r="K6" s="1033" t="s">
        <v>44</v>
      </c>
      <c r="L6" s="1031" t="s">
        <v>5</v>
      </c>
      <c r="M6" s="1032" t="s">
        <v>43</v>
      </c>
      <c r="N6" s="1033" t="s">
        <v>44</v>
      </c>
      <c r="O6" s="1031" t="s">
        <v>5</v>
      </c>
      <c r="P6" s="1032" t="s">
        <v>43</v>
      </c>
      <c r="Q6" s="1033" t="s">
        <v>44</v>
      </c>
      <c r="R6" s="1031" t="s">
        <v>5</v>
      </c>
      <c r="S6" s="1032" t="s">
        <v>43</v>
      </c>
      <c r="T6" s="1033" t="s">
        <v>44</v>
      </c>
    </row>
    <row r="7" spans="1:20" s="1039" customFormat="1" ht="44.25" customHeight="1">
      <c r="A7" s="1034" t="s">
        <v>78</v>
      </c>
      <c r="B7" s="1035"/>
      <c r="C7" s="1036"/>
      <c r="D7" s="1036"/>
      <c r="E7" s="1037"/>
      <c r="F7" s="1035"/>
      <c r="G7" s="1035"/>
      <c r="H7" s="1035"/>
      <c r="I7" s="1035"/>
      <c r="J7" s="1035"/>
      <c r="K7" s="1035"/>
      <c r="L7" s="1035"/>
      <c r="M7" s="1035"/>
      <c r="N7" s="1035"/>
      <c r="O7" s="1035"/>
      <c r="P7" s="1035"/>
      <c r="Q7" s="1035"/>
      <c r="R7" s="1035"/>
      <c r="S7" s="1035"/>
      <c r="T7" s="1038"/>
    </row>
    <row r="8" spans="1:20" s="1045" customFormat="1" ht="43.5" customHeight="1">
      <c r="A8" s="1040" t="s">
        <v>102</v>
      </c>
      <c r="B8" s="1041" t="s">
        <v>87</v>
      </c>
      <c r="C8" s="1042">
        <f>E8+D8</f>
        <v>3641</v>
      </c>
      <c r="D8" s="1043">
        <v>2302</v>
      </c>
      <c r="E8" s="1044">
        <v>1339</v>
      </c>
      <c r="F8" s="1042">
        <f>H8+G8</f>
        <v>4164</v>
      </c>
      <c r="G8" s="1043">
        <v>2583</v>
      </c>
      <c r="H8" s="1044">
        <v>1581</v>
      </c>
      <c r="I8" s="1042">
        <f>K8+J8</f>
        <v>3747</v>
      </c>
      <c r="J8" s="1043">
        <v>2273</v>
      </c>
      <c r="K8" s="1044">
        <v>1474</v>
      </c>
      <c r="L8" s="1042">
        <f>N8+M8</f>
        <v>3146</v>
      </c>
      <c r="M8" s="1043">
        <v>1978</v>
      </c>
      <c r="N8" s="1044">
        <v>1168</v>
      </c>
      <c r="O8" s="1042">
        <f>Q8+P8</f>
        <v>2971</v>
      </c>
      <c r="P8" s="1043">
        <v>1869</v>
      </c>
      <c r="Q8" s="1044">
        <v>1102</v>
      </c>
      <c r="R8" s="1042">
        <f>T8+S8</f>
        <v>2981</v>
      </c>
      <c r="S8" s="1099">
        <v>1889</v>
      </c>
      <c r="T8" s="1100">
        <v>1092</v>
      </c>
    </row>
    <row r="9" spans="1:20" s="1045" customFormat="1" ht="43.5" customHeight="1">
      <c r="A9" s="1046"/>
      <c r="B9" s="1047" t="s">
        <v>88</v>
      </c>
      <c r="C9" s="1048">
        <f>E9+D9</f>
        <v>2866</v>
      </c>
      <c r="D9" s="1049">
        <v>1833</v>
      </c>
      <c r="E9" s="1050">
        <v>1033</v>
      </c>
      <c r="F9" s="1048">
        <f>H9+G9</f>
        <v>3208</v>
      </c>
      <c r="G9" s="1049">
        <v>2014</v>
      </c>
      <c r="H9" s="1050">
        <v>1194</v>
      </c>
      <c r="I9" s="1048">
        <f>K9+J9</f>
        <v>3788</v>
      </c>
      <c r="J9" s="1049">
        <v>2321</v>
      </c>
      <c r="K9" s="1050">
        <v>1467</v>
      </c>
      <c r="L9" s="1048">
        <f>N9+M9</f>
        <v>3192</v>
      </c>
      <c r="M9" s="1049">
        <v>1972</v>
      </c>
      <c r="N9" s="1050">
        <v>1220</v>
      </c>
      <c r="O9" s="1048">
        <f>Q9+P9</f>
        <v>2858</v>
      </c>
      <c r="P9" s="1049">
        <v>1787</v>
      </c>
      <c r="Q9" s="1050">
        <v>1071</v>
      </c>
      <c r="R9" s="1048">
        <f>T9+S9</f>
        <v>2612</v>
      </c>
      <c r="S9" s="1104">
        <v>1655</v>
      </c>
      <c r="T9" s="1105">
        <v>957</v>
      </c>
    </row>
    <row r="10" spans="1:20" s="1045" customFormat="1" ht="43.5" customHeight="1">
      <c r="A10" s="1046"/>
      <c r="B10" s="1047" t="s">
        <v>89</v>
      </c>
      <c r="C10" s="1051">
        <f>E10+D10</f>
        <v>1981</v>
      </c>
      <c r="D10" s="1049">
        <v>1322</v>
      </c>
      <c r="E10" s="1052">
        <v>659</v>
      </c>
      <c r="F10" s="1051">
        <f>H10+G10</f>
        <v>2473</v>
      </c>
      <c r="G10" s="1049">
        <v>1524</v>
      </c>
      <c r="H10" s="1052">
        <v>949</v>
      </c>
      <c r="I10" s="1051">
        <f>K10+J10</f>
        <v>2889</v>
      </c>
      <c r="J10" s="1049">
        <v>1805</v>
      </c>
      <c r="K10" s="1052">
        <v>1084</v>
      </c>
      <c r="L10" s="1051">
        <f>N10+M10</f>
        <v>3235</v>
      </c>
      <c r="M10" s="1049">
        <v>2007</v>
      </c>
      <c r="N10" s="1052">
        <v>1228</v>
      </c>
      <c r="O10" s="1051">
        <f>Q10+P10</f>
        <v>2666</v>
      </c>
      <c r="P10" s="1049">
        <v>1680</v>
      </c>
      <c r="Q10" s="1052">
        <v>986</v>
      </c>
      <c r="R10" s="1051">
        <f>T10+S10</f>
        <v>2440</v>
      </c>
      <c r="S10" s="1108">
        <v>1570</v>
      </c>
      <c r="T10" s="1109">
        <v>870</v>
      </c>
    </row>
    <row r="11" spans="1:20" s="1045" customFormat="1" ht="43.5" customHeight="1">
      <c r="A11" s="1053"/>
      <c r="B11" s="1054" t="s">
        <v>5</v>
      </c>
      <c r="C11" s="1055">
        <f aca="true" t="shared" si="0" ref="C11:T11">SUM(C8:C10)</f>
        <v>8488</v>
      </c>
      <c r="D11" s="1056">
        <f t="shared" si="0"/>
        <v>5457</v>
      </c>
      <c r="E11" s="1052">
        <f t="shared" si="0"/>
        <v>3031</v>
      </c>
      <c r="F11" s="1055">
        <f t="shared" si="0"/>
        <v>9845</v>
      </c>
      <c r="G11" s="1056">
        <f t="shared" si="0"/>
        <v>6121</v>
      </c>
      <c r="H11" s="1052">
        <f t="shared" si="0"/>
        <v>3724</v>
      </c>
      <c r="I11" s="1055">
        <f t="shared" si="0"/>
        <v>10424</v>
      </c>
      <c r="J11" s="1056">
        <f t="shared" si="0"/>
        <v>6399</v>
      </c>
      <c r="K11" s="1052">
        <f t="shared" si="0"/>
        <v>4025</v>
      </c>
      <c r="L11" s="1055">
        <f t="shared" si="0"/>
        <v>9573</v>
      </c>
      <c r="M11" s="1056">
        <f t="shared" si="0"/>
        <v>5957</v>
      </c>
      <c r="N11" s="1052">
        <f t="shared" si="0"/>
        <v>3616</v>
      </c>
      <c r="O11" s="1055">
        <f>SUM(O8:O10)</f>
        <v>8495</v>
      </c>
      <c r="P11" s="1056">
        <f>SUM(P8:P10)</f>
        <v>5336</v>
      </c>
      <c r="Q11" s="1052">
        <f>SUM(Q8:Q10)</f>
        <v>3159</v>
      </c>
      <c r="R11" s="1055">
        <f t="shared" si="0"/>
        <v>8033</v>
      </c>
      <c r="S11" s="1056">
        <f t="shared" si="0"/>
        <v>5114</v>
      </c>
      <c r="T11" s="1052">
        <f t="shared" si="0"/>
        <v>2919</v>
      </c>
    </row>
    <row r="12" spans="1:20" s="1062" customFormat="1" ht="44.25" customHeight="1">
      <c r="A12" s="1057" t="s">
        <v>170</v>
      </c>
      <c r="B12" s="1058"/>
      <c r="C12" s="1059"/>
      <c r="D12" s="1058"/>
      <c r="E12" s="1060"/>
      <c r="F12" s="1059"/>
      <c r="G12" s="1059"/>
      <c r="H12" s="1060"/>
      <c r="I12" s="1059"/>
      <c r="J12" s="1059"/>
      <c r="K12" s="1060"/>
      <c r="L12" s="1059"/>
      <c r="M12" s="1059"/>
      <c r="N12" s="1060"/>
      <c r="O12" s="1059"/>
      <c r="P12" s="1059"/>
      <c r="Q12" s="1061"/>
      <c r="R12" s="1059"/>
      <c r="S12" s="1059"/>
      <c r="T12" s="1061"/>
    </row>
    <row r="13" spans="1:20" s="1045" customFormat="1" ht="43.5" customHeight="1">
      <c r="A13" s="1040" t="s">
        <v>102</v>
      </c>
      <c r="B13" s="1041" t="s">
        <v>87</v>
      </c>
      <c r="C13" s="1048">
        <f>E13+D13</f>
        <v>1530</v>
      </c>
      <c r="D13" s="1063">
        <v>1060</v>
      </c>
      <c r="E13" s="1044">
        <v>470</v>
      </c>
      <c r="F13" s="1048">
        <f>H13+G13</f>
        <v>1533</v>
      </c>
      <c r="G13" s="1063">
        <v>921</v>
      </c>
      <c r="H13" s="1044">
        <v>612</v>
      </c>
      <c r="I13" s="1048">
        <f>K13+J13</f>
        <v>1400</v>
      </c>
      <c r="J13" s="1063">
        <v>921</v>
      </c>
      <c r="K13" s="1044">
        <v>479</v>
      </c>
      <c r="L13" s="1048">
        <f>N13+M13</f>
        <v>1000</v>
      </c>
      <c r="M13" s="1063">
        <v>700</v>
      </c>
      <c r="N13" s="1044">
        <v>300</v>
      </c>
      <c r="O13" s="1048">
        <f>Q13+P13</f>
        <v>893</v>
      </c>
      <c r="P13" s="1063">
        <v>599</v>
      </c>
      <c r="Q13" s="1044">
        <v>294</v>
      </c>
      <c r="R13" s="1048">
        <f>T13+S13</f>
        <v>891</v>
      </c>
      <c r="S13" s="1063">
        <v>562</v>
      </c>
      <c r="T13" s="1044">
        <v>329</v>
      </c>
    </row>
    <row r="14" spans="1:20" s="1045" customFormat="1" ht="43.5" customHeight="1">
      <c r="A14" s="1046"/>
      <c r="B14" s="1047" t="s">
        <v>88</v>
      </c>
      <c r="C14" s="1048">
        <f>E14+D14</f>
        <v>1138</v>
      </c>
      <c r="D14" s="1064">
        <v>728</v>
      </c>
      <c r="E14" s="1050">
        <v>410</v>
      </c>
      <c r="F14" s="1048">
        <f>H14+G14</f>
        <v>1510</v>
      </c>
      <c r="G14" s="1064">
        <v>1039</v>
      </c>
      <c r="H14" s="1050">
        <v>471</v>
      </c>
      <c r="I14" s="1048">
        <f>K14+J14</f>
        <v>1405</v>
      </c>
      <c r="J14" s="1064">
        <v>815</v>
      </c>
      <c r="K14" s="1050">
        <v>590</v>
      </c>
      <c r="L14" s="1048">
        <f>N14+M14</f>
        <v>1198</v>
      </c>
      <c r="M14" s="1064">
        <v>807</v>
      </c>
      <c r="N14" s="1050">
        <v>391</v>
      </c>
      <c r="O14" s="1048">
        <f>Q14+P14</f>
        <v>959</v>
      </c>
      <c r="P14" s="1064">
        <v>637</v>
      </c>
      <c r="Q14" s="1050">
        <v>322</v>
      </c>
      <c r="R14" s="1048">
        <f>T14+S14</f>
        <v>739</v>
      </c>
      <c r="S14" s="1064">
        <v>501</v>
      </c>
      <c r="T14" s="1050">
        <v>238</v>
      </c>
    </row>
    <row r="15" spans="1:20" s="1045" customFormat="1" ht="43.5" customHeight="1">
      <c r="A15" s="1046"/>
      <c r="B15" s="1047" t="s">
        <v>89</v>
      </c>
      <c r="C15" s="1048">
        <f>E15+D15</f>
        <v>735</v>
      </c>
      <c r="D15" s="1065">
        <v>520</v>
      </c>
      <c r="E15" s="1052">
        <v>215</v>
      </c>
      <c r="F15" s="1048">
        <f>H15+G15</f>
        <v>1056</v>
      </c>
      <c r="G15" s="1065">
        <v>647</v>
      </c>
      <c r="H15" s="1052">
        <v>409</v>
      </c>
      <c r="I15" s="1048">
        <f>K15+J15</f>
        <v>1382</v>
      </c>
      <c r="J15" s="1065">
        <v>944</v>
      </c>
      <c r="K15" s="1052">
        <v>438</v>
      </c>
      <c r="L15" s="1048">
        <f>N15+M15</f>
        <v>1295</v>
      </c>
      <c r="M15" s="1065">
        <v>758</v>
      </c>
      <c r="N15" s="1052">
        <v>537</v>
      </c>
      <c r="O15" s="1048">
        <f>Q15+P15</f>
        <v>1010</v>
      </c>
      <c r="P15" s="1065">
        <v>699</v>
      </c>
      <c r="Q15" s="1052">
        <v>311</v>
      </c>
      <c r="R15" s="1048">
        <f>T15+S15</f>
        <v>781</v>
      </c>
      <c r="S15" s="1065">
        <v>542</v>
      </c>
      <c r="T15" s="1052">
        <v>239</v>
      </c>
    </row>
    <row r="16" spans="1:20" s="1045" customFormat="1" ht="43.5" customHeight="1">
      <c r="A16" s="1066" t="s">
        <v>5</v>
      </c>
      <c r="B16" s="1054"/>
      <c r="C16" s="1055">
        <f aca="true" t="shared" si="1" ref="C16:T16">SUM(C13:C15)</f>
        <v>3403</v>
      </c>
      <c r="D16" s="1065">
        <f t="shared" si="1"/>
        <v>2308</v>
      </c>
      <c r="E16" s="1052">
        <f t="shared" si="1"/>
        <v>1095</v>
      </c>
      <c r="F16" s="1055">
        <f t="shared" si="1"/>
        <v>4099</v>
      </c>
      <c r="G16" s="1065">
        <f t="shared" si="1"/>
        <v>2607</v>
      </c>
      <c r="H16" s="1052">
        <f t="shared" si="1"/>
        <v>1492</v>
      </c>
      <c r="I16" s="1055">
        <f t="shared" si="1"/>
        <v>4187</v>
      </c>
      <c r="J16" s="1065">
        <f t="shared" si="1"/>
        <v>2680</v>
      </c>
      <c r="K16" s="1052">
        <f t="shared" si="1"/>
        <v>1507</v>
      </c>
      <c r="L16" s="1055">
        <f t="shared" si="1"/>
        <v>3493</v>
      </c>
      <c r="M16" s="1065">
        <f t="shared" si="1"/>
        <v>2265</v>
      </c>
      <c r="N16" s="1052">
        <f t="shared" si="1"/>
        <v>1228</v>
      </c>
      <c r="O16" s="1055">
        <f>SUM(O13:O15)</f>
        <v>2862</v>
      </c>
      <c r="P16" s="1065">
        <f>SUM(P13:P15)</f>
        <v>1935</v>
      </c>
      <c r="Q16" s="1052">
        <f>SUM(Q13:Q15)</f>
        <v>927</v>
      </c>
      <c r="R16" s="1055">
        <f t="shared" si="1"/>
        <v>2411</v>
      </c>
      <c r="S16" s="1065">
        <f t="shared" si="1"/>
        <v>1605</v>
      </c>
      <c r="T16" s="1052">
        <f t="shared" si="1"/>
        <v>806</v>
      </c>
    </row>
    <row r="17" spans="1:20" s="1062" customFormat="1" ht="44.25" customHeight="1">
      <c r="A17" s="1067" t="s">
        <v>55</v>
      </c>
      <c r="B17" s="1059"/>
      <c r="C17" s="1068"/>
      <c r="D17" s="1068"/>
      <c r="E17" s="1060"/>
      <c r="F17" s="1069"/>
      <c r="G17" s="1069"/>
      <c r="H17" s="1070"/>
      <c r="I17" s="1069"/>
      <c r="J17" s="1069"/>
      <c r="K17" s="1070"/>
      <c r="L17" s="1069"/>
      <c r="M17" s="1069"/>
      <c r="N17" s="1070"/>
      <c r="O17" s="1069"/>
      <c r="P17" s="1069"/>
      <c r="Q17" s="1071"/>
      <c r="R17" s="1069"/>
      <c r="S17" s="1069"/>
      <c r="T17" s="1071"/>
    </row>
    <row r="18" spans="1:20" s="1045" customFormat="1" ht="45" customHeight="1">
      <c r="A18" s="1040" t="s">
        <v>102</v>
      </c>
      <c r="B18" s="1058" t="s">
        <v>87</v>
      </c>
      <c r="C18" s="1042">
        <f aca="true" t="shared" si="2" ref="C18:E21">C8-C13</f>
        <v>2111</v>
      </c>
      <c r="D18" s="1063">
        <f t="shared" si="2"/>
        <v>1242</v>
      </c>
      <c r="E18" s="1044">
        <f t="shared" si="2"/>
        <v>869</v>
      </c>
      <c r="F18" s="1072">
        <f aca="true" t="shared" si="3" ref="F18:Q18">F8-F13</f>
        <v>2631</v>
      </c>
      <c r="G18" s="1063">
        <f t="shared" si="3"/>
        <v>1662</v>
      </c>
      <c r="H18" s="1044">
        <f t="shared" si="3"/>
        <v>969</v>
      </c>
      <c r="I18" s="1132">
        <f t="shared" si="3"/>
        <v>2347</v>
      </c>
      <c r="J18" s="1063">
        <f t="shared" si="3"/>
        <v>1352</v>
      </c>
      <c r="K18" s="1044">
        <f t="shared" si="3"/>
        <v>995</v>
      </c>
      <c r="L18" s="1072">
        <f t="shared" si="3"/>
        <v>2146</v>
      </c>
      <c r="M18" s="1063">
        <f t="shared" si="3"/>
        <v>1278</v>
      </c>
      <c r="N18" s="1044">
        <f t="shared" si="3"/>
        <v>868</v>
      </c>
      <c r="O18" s="1072">
        <f t="shared" si="3"/>
        <v>2078</v>
      </c>
      <c r="P18" s="1063">
        <f t="shared" si="3"/>
        <v>1270</v>
      </c>
      <c r="Q18" s="1044">
        <f t="shared" si="3"/>
        <v>808</v>
      </c>
      <c r="R18" s="1072">
        <f aca="true" t="shared" si="4" ref="R18:T21">R8-R13</f>
        <v>2090</v>
      </c>
      <c r="S18" s="1063">
        <f t="shared" si="4"/>
        <v>1327</v>
      </c>
      <c r="T18" s="1044">
        <f t="shared" si="4"/>
        <v>763</v>
      </c>
    </row>
    <row r="19" spans="1:20" s="1045" customFormat="1" ht="45" customHeight="1">
      <c r="A19" s="1046"/>
      <c r="B19" s="1073" t="s">
        <v>88</v>
      </c>
      <c r="C19" s="1048">
        <f t="shared" si="2"/>
        <v>1728</v>
      </c>
      <c r="D19" s="1064">
        <f t="shared" si="2"/>
        <v>1105</v>
      </c>
      <c r="E19" s="1050">
        <f t="shared" si="2"/>
        <v>623</v>
      </c>
      <c r="F19" s="1074">
        <f aca="true" t="shared" si="5" ref="F19:Q19">F9-F14</f>
        <v>1698</v>
      </c>
      <c r="G19" s="1064">
        <f t="shared" si="5"/>
        <v>975</v>
      </c>
      <c r="H19" s="1050">
        <f t="shared" si="5"/>
        <v>723</v>
      </c>
      <c r="I19" s="1133">
        <f t="shared" si="5"/>
        <v>2383</v>
      </c>
      <c r="J19" s="1064">
        <f t="shared" si="5"/>
        <v>1506</v>
      </c>
      <c r="K19" s="1050">
        <f t="shared" si="5"/>
        <v>877</v>
      </c>
      <c r="L19" s="1074">
        <f t="shared" si="5"/>
        <v>1994</v>
      </c>
      <c r="M19" s="1064">
        <f t="shared" si="5"/>
        <v>1165</v>
      </c>
      <c r="N19" s="1050">
        <f t="shared" si="5"/>
        <v>829</v>
      </c>
      <c r="O19" s="1074">
        <f t="shared" si="5"/>
        <v>1899</v>
      </c>
      <c r="P19" s="1064">
        <f t="shared" si="5"/>
        <v>1150</v>
      </c>
      <c r="Q19" s="1050">
        <f t="shared" si="5"/>
        <v>749</v>
      </c>
      <c r="R19" s="1074">
        <f t="shared" si="4"/>
        <v>1873</v>
      </c>
      <c r="S19" s="1064">
        <f t="shared" si="4"/>
        <v>1154</v>
      </c>
      <c r="T19" s="1050">
        <f t="shared" si="4"/>
        <v>719</v>
      </c>
    </row>
    <row r="20" spans="1:20" s="1045" customFormat="1" ht="45" customHeight="1">
      <c r="A20" s="1046"/>
      <c r="B20" s="1073" t="s">
        <v>89</v>
      </c>
      <c r="C20" s="1051">
        <f t="shared" si="2"/>
        <v>1246</v>
      </c>
      <c r="D20" s="1065">
        <f t="shared" si="2"/>
        <v>802</v>
      </c>
      <c r="E20" s="1052">
        <f t="shared" si="2"/>
        <v>444</v>
      </c>
      <c r="F20" s="1075">
        <f aca="true" t="shared" si="6" ref="F20:Q20">F10-F15</f>
        <v>1417</v>
      </c>
      <c r="G20" s="1065">
        <f t="shared" si="6"/>
        <v>877</v>
      </c>
      <c r="H20" s="1052">
        <f t="shared" si="6"/>
        <v>540</v>
      </c>
      <c r="I20" s="1134">
        <f t="shared" si="6"/>
        <v>1507</v>
      </c>
      <c r="J20" s="1065">
        <f t="shared" si="6"/>
        <v>861</v>
      </c>
      <c r="K20" s="1052">
        <f t="shared" si="6"/>
        <v>646</v>
      </c>
      <c r="L20" s="1075">
        <f t="shared" si="6"/>
        <v>1940</v>
      </c>
      <c r="M20" s="1065">
        <f t="shared" si="6"/>
        <v>1249</v>
      </c>
      <c r="N20" s="1052">
        <f t="shared" si="6"/>
        <v>691</v>
      </c>
      <c r="O20" s="1075">
        <f t="shared" si="6"/>
        <v>1656</v>
      </c>
      <c r="P20" s="1065">
        <f t="shared" si="6"/>
        <v>981</v>
      </c>
      <c r="Q20" s="1052">
        <f t="shared" si="6"/>
        <v>675</v>
      </c>
      <c r="R20" s="1075">
        <f t="shared" si="4"/>
        <v>1659</v>
      </c>
      <c r="S20" s="1065">
        <f t="shared" si="4"/>
        <v>1028</v>
      </c>
      <c r="T20" s="1052">
        <f t="shared" si="4"/>
        <v>631</v>
      </c>
    </row>
    <row r="21" spans="1:20" s="1045" customFormat="1" ht="45" customHeight="1">
      <c r="A21" s="1027"/>
      <c r="B21" s="1054" t="s">
        <v>5</v>
      </c>
      <c r="C21" s="1076">
        <f t="shared" si="2"/>
        <v>5085</v>
      </c>
      <c r="D21" s="1077">
        <f t="shared" si="2"/>
        <v>3149</v>
      </c>
      <c r="E21" s="1078">
        <f t="shared" si="2"/>
        <v>1936</v>
      </c>
      <c r="F21" s="1076">
        <f aca="true" t="shared" si="7" ref="F21:Q21">F11-F16</f>
        <v>5746</v>
      </c>
      <c r="G21" s="1077">
        <f t="shared" si="7"/>
        <v>3514</v>
      </c>
      <c r="H21" s="1078">
        <f t="shared" si="7"/>
        <v>2232</v>
      </c>
      <c r="I21" s="1135">
        <f t="shared" si="7"/>
        <v>6237</v>
      </c>
      <c r="J21" s="1077">
        <f t="shared" si="7"/>
        <v>3719</v>
      </c>
      <c r="K21" s="1078">
        <f t="shared" si="7"/>
        <v>2518</v>
      </c>
      <c r="L21" s="1076">
        <f t="shared" si="7"/>
        <v>6080</v>
      </c>
      <c r="M21" s="1077">
        <f t="shared" si="7"/>
        <v>3692</v>
      </c>
      <c r="N21" s="1078">
        <f t="shared" si="7"/>
        <v>2388</v>
      </c>
      <c r="O21" s="1076">
        <f t="shared" si="7"/>
        <v>5633</v>
      </c>
      <c r="P21" s="1077">
        <f t="shared" si="7"/>
        <v>3401</v>
      </c>
      <c r="Q21" s="1078">
        <f t="shared" si="7"/>
        <v>2232</v>
      </c>
      <c r="R21" s="1076">
        <f t="shared" si="4"/>
        <v>5622</v>
      </c>
      <c r="S21" s="1077">
        <f t="shared" si="4"/>
        <v>3509</v>
      </c>
      <c r="T21" s="1078">
        <f t="shared" si="4"/>
        <v>2113</v>
      </c>
    </row>
    <row r="22" ht="18.75" customHeight="1">
      <c r="B22" s="1079"/>
    </row>
  </sheetData>
  <sheetProtection/>
  <mergeCells count="2">
    <mergeCell ref="A5:B6"/>
    <mergeCell ref="L5:N5"/>
  </mergeCells>
  <printOptions/>
  <pageMargins left="0.45" right="0.65" top="0.75" bottom="0" header="0.5" footer="0"/>
  <pageSetup horizontalDpi="600" verticalDpi="600" orientation="portrait" paperSize="9" scale="99" r:id="rId1"/>
  <headerFooter alignWithMargins="0">
    <oddHeader>&amp;C&amp;"Times New Roman,Regular"&amp;11- 28 -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2.00390625" style="733" customWidth="1"/>
    <col min="2" max="2" width="12.140625" style="733" customWidth="1"/>
    <col min="3" max="3" width="21.00390625" style="733" customWidth="1"/>
    <col min="4" max="4" width="10.57421875" style="733" customWidth="1"/>
    <col min="5" max="6" width="10.140625" style="733" customWidth="1"/>
    <col min="7" max="7" width="10.57421875" style="733" customWidth="1"/>
    <col min="8" max="9" width="10.140625" style="733" customWidth="1"/>
    <col min="10" max="10" width="10.57421875" style="733" customWidth="1"/>
    <col min="11" max="12" width="10.421875" style="733" customWidth="1"/>
    <col min="13" max="14" width="5.00390625" style="733" customWidth="1"/>
    <col min="15" max="16384" width="9.140625" style="733" customWidth="1"/>
  </cols>
  <sheetData>
    <row r="1" spans="1:5" ht="19.5" customHeight="1">
      <c r="A1" s="1224" t="s">
        <v>427</v>
      </c>
      <c r="D1" s="734"/>
      <c r="E1" s="734"/>
    </row>
    <row r="2" spans="4:5" ht="12.75" customHeight="1">
      <c r="D2" s="734"/>
      <c r="E2" s="734"/>
    </row>
    <row r="3" spans="1:12" ht="15.75" customHeight="1">
      <c r="A3" s="1498" t="s">
        <v>16</v>
      </c>
      <c r="B3" s="1499"/>
      <c r="C3" s="1500"/>
      <c r="D3" s="735" t="s">
        <v>193</v>
      </c>
      <c r="E3" s="735"/>
      <c r="F3" s="735"/>
      <c r="G3" s="736" t="s">
        <v>194</v>
      </c>
      <c r="H3" s="737"/>
      <c r="I3" s="738"/>
      <c r="J3" s="735" t="s">
        <v>195</v>
      </c>
      <c r="K3" s="737"/>
      <c r="L3" s="739"/>
    </row>
    <row r="4" spans="1:12" ht="15.75" customHeight="1">
      <c r="A4" s="1501"/>
      <c r="B4" s="1502"/>
      <c r="C4" s="1503"/>
      <c r="D4" s="740" t="s">
        <v>5</v>
      </c>
      <c r="E4" s="741" t="s">
        <v>43</v>
      </c>
      <c r="F4" s="740" t="s">
        <v>44</v>
      </c>
      <c r="G4" s="742" t="s">
        <v>5</v>
      </c>
      <c r="H4" s="741" t="s">
        <v>43</v>
      </c>
      <c r="I4" s="740" t="s">
        <v>44</v>
      </c>
      <c r="J4" s="742" t="s">
        <v>5</v>
      </c>
      <c r="K4" s="741" t="s">
        <v>43</v>
      </c>
      <c r="L4" s="743" t="s">
        <v>44</v>
      </c>
    </row>
    <row r="5" spans="1:12" ht="20.25" customHeight="1">
      <c r="A5" s="744" t="s">
        <v>196</v>
      </c>
      <c r="B5" s="745"/>
      <c r="C5" s="746"/>
      <c r="D5" s="747">
        <f aca="true" t="shared" si="0" ref="D5:D16">E5+F5</f>
        <v>1060</v>
      </c>
      <c r="E5" s="748">
        <v>449</v>
      </c>
      <c r="F5" s="748">
        <v>611</v>
      </c>
      <c r="G5" s="747">
        <f>SUM(H5:I5)</f>
        <v>71</v>
      </c>
      <c r="H5" s="749">
        <v>25</v>
      </c>
      <c r="I5" s="755">
        <v>46</v>
      </c>
      <c r="J5" s="747">
        <f aca="true" t="shared" si="1" ref="J5:J13">SUM(K5:L5)</f>
        <v>1131</v>
      </c>
      <c r="K5" s="749">
        <f>E5+H5</f>
        <v>474</v>
      </c>
      <c r="L5" s="756">
        <f>F5+I5</f>
        <v>657</v>
      </c>
    </row>
    <row r="6" spans="1:12" ht="20.25" customHeight="1">
      <c r="A6" s="753" t="s">
        <v>180</v>
      </c>
      <c r="B6" s="754"/>
      <c r="C6" s="746"/>
      <c r="D6" s="747">
        <f t="shared" si="0"/>
        <v>601</v>
      </c>
      <c r="E6" s="748">
        <v>262</v>
      </c>
      <c r="F6" s="748">
        <v>339</v>
      </c>
      <c r="G6" s="747">
        <f aca="true" t="shared" si="2" ref="G6:G13">SUM(H6:I6)</f>
        <v>67</v>
      </c>
      <c r="H6" s="748">
        <v>19</v>
      </c>
      <c r="I6" s="755">
        <v>48</v>
      </c>
      <c r="J6" s="747">
        <f t="shared" si="1"/>
        <v>668</v>
      </c>
      <c r="K6" s="748">
        <f aca="true" t="shared" si="3" ref="K6:K15">E6+H6</f>
        <v>281</v>
      </c>
      <c r="L6" s="756">
        <f aca="true" t="shared" si="4" ref="L6:L13">F6+I6</f>
        <v>387</v>
      </c>
    </row>
    <row r="7" spans="1:12" ht="20.25" customHeight="1">
      <c r="A7" s="753" t="s">
        <v>181</v>
      </c>
      <c r="B7" s="754"/>
      <c r="C7" s="746"/>
      <c r="D7" s="747">
        <f t="shared" si="0"/>
        <v>627</v>
      </c>
      <c r="E7" s="748">
        <v>297</v>
      </c>
      <c r="F7" s="755">
        <v>330</v>
      </c>
      <c r="G7" s="747">
        <f t="shared" si="2"/>
        <v>65</v>
      </c>
      <c r="H7" s="748">
        <v>28</v>
      </c>
      <c r="I7" s="755">
        <v>37</v>
      </c>
      <c r="J7" s="747">
        <f t="shared" si="1"/>
        <v>692</v>
      </c>
      <c r="K7" s="748">
        <f t="shared" si="3"/>
        <v>325</v>
      </c>
      <c r="L7" s="756">
        <f t="shared" si="4"/>
        <v>367</v>
      </c>
    </row>
    <row r="8" spans="1:12" ht="20.25" customHeight="1">
      <c r="A8" s="753" t="s">
        <v>182</v>
      </c>
      <c r="B8" s="754"/>
      <c r="C8" s="746"/>
      <c r="D8" s="747">
        <f t="shared" si="0"/>
        <v>824</v>
      </c>
      <c r="E8" s="748">
        <v>411</v>
      </c>
      <c r="F8" s="755">
        <v>413</v>
      </c>
      <c r="G8" s="747">
        <f t="shared" si="2"/>
        <v>60</v>
      </c>
      <c r="H8" s="748">
        <v>26</v>
      </c>
      <c r="I8" s="755">
        <v>34</v>
      </c>
      <c r="J8" s="747">
        <f t="shared" si="1"/>
        <v>884</v>
      </c>
      <c r="K8" s="748">
        <f t="shared" si="3"/>
        <v>437</v>
      </c>
      <c r="L8" s="756">
        <f t="shared" si="4"/>
        <v>447</v>
      </c>
    </row>
    <row r="9" spans="1:12" ht="20.25" customHeight="1">
      <c r="A9" s="753" t="s">
        <v>183</v>
      </c>
      <c r="B9" s="754"/>
      <c r="C9" s="746"/>
      <c r="D9" s="747">
        <f t="shared" si="0"/>
        <v>468</v>
      </c>
      <c r="E9" s="748">
        <v>189</v>
      </c>
      <c r="F9" s="755">
        <v>279</v>
      </c>
      <c r="G9" s="747">
        <f t="shared" si="2"/>
        <v>42</v>
      </c>
      <c r="H9" s="748">
        <v>15</v>
      </c>
      <c r="I9" s="755">
        <v>27</v>
      </c>
      <c r="J9" s="747">
        <f t="shared" si="1"/>
        <v>510</v>
      </c>
      <c r="K9" s="748">
        <f t="shared" si="3"/>
        <v>204</v>
      </c>
      <c r="L9" s="756">
        <f t="shared" si="4"/>
        <v>306</v>
      </c>
    </row>
    <row r="10" spans="1:12" ht="20.25" customHeight="1">
      <c r="A10" s="753" t="s">
        <v>184</v>
      </c>
      <c r="B10" s="754"/>
      <c r="C10" s="746"/>
      <c r="D10" s="747">
        <f t="shared" si="0"/>
        <v>311</v>
      </c>
      <c r="E10" s="748">
        <v>144</v>
      </c>
      <c r="F10" s="755">
        <v>167</v>
      </c>
      <c r="G10" s="747">
        <f t="shared" si="2"/>
        <v>40</v>
      </c>
      <c r="H10" s="748">
        <v>15</v>
      </c>
      <c r="I10" s="755">
        <v>25</v>
      </c>
      <c r="J10" s="747">
        <f t="shared" si="1"/>
        <v>351</v>
      </c>
      <c r="K10" s="748">
        <f t="shared" si="3"/>
        <v>159</v>
      </c>
      <c r="L10" s="756">
        <f t="shared" si="4"/>
        <v>192</v>
      </c>
    </row>
    <row r="11" spans="1:12" ht="20.25" customHeight="1">
      <c r="A11" s="753" t="s">
        <v>197</v>
      </c>
      <c r="B11" s="754"/>
      <c r="C11" s="746"/>
      <c r="D11" s="747">
        <f t="shared" si="0"/>
        <v>2815</v>
      </c>
      <c r="E11" s="748">
        <v>1157</v>
      </c>
      <c r="F11" s="755">
        <v>1658</v>
      </c>
      <c r="G11" s="747">
        <f t="shared" si="2"/>
        <v>171</v>
      </c>
      <c r="H11" s="748">
        <v>53</v>
      </c>
      <c r="I11" s="755">
        <v>118</v>
      </c>
      <c r="J11" s="747">
        <f t="shared" si="1"/>
        <v>2986</v>
      </c>
      <c r="K11" s="748">
        <f t="shared" si="3"/>
        <v>1210</v>
      </c>
      <c r="L11" s="756">
        <f t="shared" si="4"/>
        <v>1776</v>
      </c>
    </row>
    <row r="12" spans="1:12" ht="20.25" customHeight="1">
      <c r="A12" s="753" t="s">
        <v>186</v>
      </c>
      <c r="B12" s="754"/>
      <c r="C12" s="746"/>
      <c r="D12" s="747">
        <f t="shared" si="0"/>
        <v>478</v>
      </c>
      <c r="E12" s="748">
        <v>168</v>
      </c>
      <c r="F12" s="755">
        <v>310</v>
      </c>
      <c r="G12" s="757">
        <f t="shared" si="2"/>
        <v>47</v>
      </c>
      <c r="H12" s="748">
        <v>17</v>
      </c>
      <c r="I12" s="755">
        <v>30</v>
      </c>
      <c r="J12" s="747">
        <f t="shared" si="1"/>
        <v>525</v>
      </c>
      <c r="K12" s="748">
        <f t="shared" si="3"/>
        <v>185</v>
      </c>
      <c r="L12" s="756">
        <f t="shared" si="4"/>
        <v>340</v>
      </c>
    </row>
    <row r="13" spans="1:12" ht="20.25" customHeight="1">
      <c r="A13" s="753" t="s">
        <v>187</v>
      </c>
      <c r="B13" s="754"/>
      <c r="C13" s="758"/>
      <c r="D13" s="759">
        <f t="shared" si="0"/>
        <v>171</v>
      </c>
      <c r="E13" s="760">
        <v>81</v>
      </c>
      <c r="F13" s="761">
        <v>90</v>
      </c>
      <c r="G13" s="762">
        <f t="shared" si="2"/>
        <v>23</v>
      </c>
      <c r="H13" s="760">
        <v>9</v>
      </c>
      <c r="I13" s="761">
        <v>14</v>
      </c>
      <c r="J13" s="759">
        <f t="shared" si="1"/>
        <v>194</v>
      </c>
      <c r="K13" s="760">
        <f t="shared" si="3"/>
        <v>90</v>
      </c>
      <c r="L13" s="763">
        <f t="shared" si="4"/>
        <v>104</v>
      </c>
    </row>
    <row r="14" spans="1:14" ht="20.25" customHeight="1">
      <c r="A14" s="764" t="s">
        <v>2</v>
      </c>
      <c r="B14" s="745"/>
      <c r="C14" s="746"/>
      <c r="D14" s="747">
        <f t="shared" si="0"/>
        <v>7355</v>
      </c>
      <c r="E14" s="748">
        <f aca="true" t="shared" si="5" ref="E14:L14">SUM(E5:E13)</f>
        <v>3158</v>
      </c>
      <c r="F14" s="755">
        <f t="shared" si="5"/>
        <v>4197</v>
      </c>
      <c r="G14" s="747">
        <f t="shared" si="5"/>
        <v>586</v>
      </c>
      <c r="H14" s="749">
        <f t="shared" si="5"/>
        <v>207</v>
      </c>
      <c r="I14" s="750">
        <f>SUM(I5:I13)</f>
        <v>379</v>
      </c>
      <c r="J14" s="751">
        <f t="shared" si="5"/>
        <v>7941</v>
      </c>
      <c r="K14" s="749">
        <f t="shared" si="5"/>
        <v>3365</v>
      </c>
      <c r="L14" s="752">
        <f t="shared" si="5"/>
        <v>4576</v>
      </c>
      <c r="N14" s="765"/>
    </row>
    <row r="15" spans="1:12" ht="20.25" customHeight="1">
      <c r="A15" s="766" t="s">
        <v>4</v>
      </c>
      <c r="B15" s="754"/>
      <c r="C15" s="746"/>
      <c r="D15" s="747">
        <f t="shared" si="0"/>
        <v>209</v>
      </c>
      <c r="E15" s="748">
        <v>98</v>
      </c>
      <c r="F15" s="755">
        <v>111</v>
      </c>
      <c r="G15" s="759">
        <f>SUM(H15:I15)</f>
        <v>36</v>
      </c>
      <c r="H15" s="760">
        <v>13</v>
      </c>
      <c r="I15" s="761">
        <v>23</v>
      </c>
      <c r="J15" s="759">
        <f>SUM(K15:L15)</f>
        <v>245</v>
      </c>
      <c r="K15" s="760">
        <f t="shared" si="3"/>
        <v>111</v>
      </c>
      <c r="L15" s="763">
        <f>F15+I15</f>
        <v>134</v>
      </c>
    </row>
    <row r="16" spans="1:12" ht="20.25" customHeight="1">
      <c r="A16" s="767" t="s">
        <v>198</v>
      </c>
      <c r="B16" s="768"/>
      <c r="C16" s="769"/>
      <c r="D16" s="770">
        <f t="shared" si="0"/>
        <v>7564</v>
      </c>
      <c r="E16" s="771">
        <f>E15+E14</f>
        <v>3256</v>
      </c>
      <c r="F16" s="772">
        <f>F15+F14</f>
        <v>4308</v>
      </c>
      <c r="G16" s="770">
        <f>SUM(H16:I16)</f>
        <v>622</v>
      </c>
      <c r="H16" s="771">
        <f>SUM(H14:H15)</f>
        <v>220</v>
      </c>
      <c r="I16" s="772">
        <f>SUM(I14:I15)</f>
        <v>402</v>
      </c>
      <c r="J16" s="770">
        <f>J15+J14</f>
        <v>8186</v>
      </c>
      <c r="K16" s="771">
        <f>SUM(K14:K15)</f>
        <v>3476</v>
      </c>
      <c r="L16" s="773">
        <f>SUM(L14:L15)</f>
        <v>4710</v>
      </c>
    </row>
    <row r="17" spans="1:12" ht="12" customHeight="1">
      <c r="A17" s="754"/>
      <c r="B17" s="754"/>
      <c r="C17" s="754"/>
      <c r="D17" s="774"/>
      <c r="E17" s="774"/>
      <c r="F17" s="774"/>
      <c r="G17" s="774"/>
      <c r="H17" s="774"/>
      <c r="I17" s="774"/>
      <c r="J17" s="774"/>
      <c r="K17" s="774"/>
      <c r="L17" s="774"/>
    </row>
    <row r="18" spans="1:12" ht="19.5" customHeight="1">
      <c r="A18" s="732" t="s">
        <v>362</v>
      </c>
      <c r="B18" s="775"/>
      <c r="C18" s="775"/>
      <c r="D18" s="776"/>
      <c r="E18" s="776"/>
      <c r="F18" s="777"/>
      <c r="G18" s="777"/>
      <c r="H18" s="777"/>
      <c r="I18" s="777"/>
      <c r="J18" s="777"/>
      <c r="K18" s="777"/>
      <c r="L18" s="777"/>
    </row>
    <row r="19" spans="1:12" ht="9.75" customHeight="1">
      <c r="A19" s="775"/>
      <c r="B19" s="775"/>
      <c r="C19" s="775"/>
      <c r="D19" s="776"/>
      <c r="E19" s="776"/>
      <c r="F19" s="777"/>
      <c r="G19" s="777"/>
      <c r="H19" s="777"/>
      <c r="I19" s="777"/>
      <c r="J19" s="777"/>
      <c r="K19" s="777"/>
      <c r="L19" s="777"/>
    </row>
    <row r="20" spans="1:12" ht="16.5" customHeight="1">
      <c r="A20" s="1498" t="s">
        <v>33</v>
      </c>
      <c r="B20" s="1499"/>
      <c r="C20" s="1500"/>
      <c r="D20" s="1495" t="s">
        <v>193</v>
      </c>
      <c r="E20" s="1496"/>
      <c r="F20" s="1497"/>
      <c r="G20" s="1495" t="s">
        <v>194</v>
      </c>
      <c r="H20" s="1496"/>
      <c r="I20" s="1497"/>
      <c r="J20" s="1495" t="s">
        <v>195</v>
      </c>
      <c r="K20" s="1496"/>
      <c r="L20" s="1497"/>
    </row>
    <row r="21" spans="1:12" ht="16.5" customHeight="1">
      <c r="A21" s="1501"/>
      <c r="B21" s="1502"/>
      <c r="C21" s="1503"/>
      <c r="D21" s="779" t="s">
        <v>5</v>
      </c>
      <c r="E21" s="781" t="s">
        <v>43</v>
      </c>
      <c r="F21" s="779" t="s">
        <v>44</v>
      </c>
      <c r="G21" s="778" t="s">
        <v>5</v>
      </c>
      <c r="H21" s="781" t="s">
        <v>43</v>
      </c>
      <c r="I21" s="779" t="s">
        <v>44</v>
      </c>
      <c r="J21" s="782" t="s">
        <v>5</v>
      </c>
      <c r="K21" s="781" t="s">
        <v>43</v>
      </c>
      <c r="L21" s="780" t="s">
        <v>44</v>
      </c>
    </row>
    <row r="22" spans="1:12" ht="22.5" customHeight="1">
      <c r="A22" s="753" t="s">
        <v>34</v>
      </c>
      <c r="B22" s="745"/>
      <c r="C22" s="746"/>
      <c r="D22" s="783">
        <f aca="true" t="shared" si="6" ref="D22:D27">E22+F22</f>
        <v>2334</v>
      </c>
      <c r="E22" s="783">
        <v>1022</v>
      </c>
      <c r="F22" s="784">
        <v>1312</v>
      </c>
      <c r="G22" s="785">
        <f aca="true" t="shared" si="7" ref="G22:G27">SUM(H22:I22)</f>
        <v>206</v>
      </c>
      <c r="H22" s="783">
        <v>72</v>
      </c>
      <c r="I22" s="784">
        <v>134</v>
      </c>
      <c r="J22" s="785">
        <f aca="true" t="shared" si="8" ref="J22:J27">SUM(K22:L22)</f>
        <v>2540</v>
      </c>
      <c r="K22" s="783">
        <f aca="true" t="shared" si="9" ref="K22:L27">E22+H22</f>
        <v>1094</v>
      </c>
      <c r="L22" s="786">
        <f t="shared" si="9"/>
        <v>1446</v>
      </c>
    </row>
    <row r="23" spans="1:12" ht="22.5" customHeight="1">
      <c r="A23" s="753" t="s">
        <v>35</v>
      </c>
      <c r="B23" s="754"/>
      <c r="C23" s="746"/>
      <c r="D23" s="787">
        <f t="shared" si="6"/>
        <v>1980</v>
      </c>
      <c r="E23" s="787">
        <v>867</v>
      </c>
      <c r="F23" s="788">
        <v>1113</v>
      </c>
      <c r="G23" s="789">
        <f t="shared" si="7"/>
        <v>177</v>
      </c>
      <c r="H23" s="787">
        <v>64</v>
      </c>
      <c r="I23" s="788">
        <v>113</v>
      </c>
      <c r="J23" s="789">
        <f t="shared" si="8"/>
        <v>2157</v>
      </c>
      <c r="K23" s="787">
        <f t="shared" si="9"/>
        <v>931</v>
      </c>
      <c r="L23" s="790">
        <f t="shared" si="9"/>
        <v>1226</v>
      </c>
    </row>
    <row r="24" spans="1:12" ht="22.5" customHeight="1">
      <c r="A24" s="753" t="s">
        <v>36</v>
      </c>
      <c r="B24" s="754"/>
      <c r="C24" s="746"/>
      <c r="D24" s="787">
        <f t="shared" si="6"/>
        <v>1759</v>
      </c>
      <c r="E24" s="787">
        <v>752</v>
      </c>
      <c r="F24" s="788">
        <v>1007</v>
      </c>
      <c r="G24" s="789">
        <f t="shared" si="7"/>
        <v>115</v>
      </c>
      <c r="H24" s="787">
        <v>39</v>
      </c>
      <c r="I24" s="788">
        <v>76</v>
      </c>
      <c r="J24" s="789">
        <f t="shared" si="8"/>
        <v>1874</v>
      </c>
      <c r="K24" s="787">
        <f t="shared" si="9"/>
        <v>791</v>
      </c>
      <c r="L24" s="790">
        <f t="shared" si="9"/>
        <v>1083</v>
      </c>
    </row>
    <row r="25" spans="1:12" ht="22.5" customHeight="1">
      <c r="A25" s="753" t="s">
        <v>51</v>
      </c>
      <c r="B25" s="754"/>
      <c r="C25" s="746"/>
      <c r="D25" s="787">
        <f t="shared" si="6"/>
        <v>1282</v>
      </c>
      <c r="E25" s="787">
        <v>517</v>
      </c>
      <c r="F25" s="788">
        <v>765</v>
      </c>
      <c r="G25" s="789">
        <f t="shared" si="7"/>
        <v>88</v>
      </c>
      <c r="H25" s="787">
        <v>32</v>
      </c>
      <c r="I25" s="788">
        <v>56</v>
      </c>
      <c r="J25" s="789">
        <f t="shared" si="8"/>
        <v>1370</v>
      </c>
      <c r="K25" s="787">
        <f t="shared" si="9"/>
        <v>549</v>
      </c>
      <c r="L25" s="790">
        <f t="shared" si="9"/>
        <v>821</v>
      </c>
    </row>
    <row r="26" spans="1:12" ht="22.5" customHeight="1">
      <c r="A26" s="753" t="s">
        <v>38</v>
      </c>
      <c r="B26" s="754"/>
      <c r="C26" s="746"/>
      <c r="D26" s="787">
        <f t="shared" si="6"/>
        <v>209</v>
      </c>
      <c r="E26" s="787">
        <v>98</v>
      </c>
      <c r="F26" s="788">
        <v>111</v>
      </c>
      <c r="G26" s="789">
        <f t="shared" si="7"/>
        <v>36</v>
      </c>
      <c r="H26" s="787">
        <v>13</v>
      </c>
      <c r="I26" s="791">
        <v>23</v>
      </c>
      <c r="J26" s="789">
        <f t="shared" si="8"/>
        <v>245</v>
      </c>
      <c r="K26" s="792">
        <f t="shared" si="9"/>
        <v>111</v>
      </c>
      <c r="L26" s="790">
        <f t="shared" si="9"/>
        <v>134</v>
      </c>
    </row>
    <row r="27" spans="1:12" ht="22.5" customHeight="1">
      <c r="A27" s="767" t="s">
        <v>52</v>
      </c>
      <c r="B27" s="768"/>
      <c r="C27" s="769"/>
      <c r="D27" s="793">
        <f t="shared" si="6"/>
        <v>7564</v>
      </c>
      <c r="E27" s="793">
        <f>SUM(E22:E26)</f>
        <v>3256</v>
      </c>
      <c r="F27" s="794">
        <f>SUM(F22:F26)</f>
        <v>4308</v>
      </c>
      <c r="G27" s="795">
        <f t="shared" si="7"/>
        <v>622</v>
      </c>
      <c r="H27" s="793">
        <f>SUM(H22:H26)</f>
        <v>220</v>
      </c>
      <c r="I27" s="793">
        <f>SUM(I22:I26)</f>
        <v>402</v>
      </c>
      <c r="J27" s="795">
        <f t="shared" si="8"/>
        <v>8186</v>
      </c>
      <c r="K27" s="793">
        <f t="shared" si="9"/>
        <v>3476</v>
      </c>
      <c r="L27" s="796">
        <f t="shared" si="9"/>
        <v>4710</v>
      </c>
    </row>
    <row r="28" spans="1:14" ht="17.25" customHeight="1">
      <c r="A28" s="797"/>
      <c r="B28" s="798"/>
      <c r="C28" s="799"/>
      <c r="D28" s="800"/>
      <c r="E28" s="800"/>
      <c r="F28" s="800"/>
      <c r="G28" s="734"/>
      <c r="H28" s="734"/>
      <c r="I28" s="799"/>
      <c r="J28" s="799"/>
      <c r="K28" s="799"/>
      <c r="L28" s="734"/>
      <c r="M28" s="734"/>
      <c r="N28" s="734"/>
    </row>
    <row r="29" ht="7.5" customHeight="1"/>
  </sheetData>
  <sheetProtection/>
  <mergeCells count="5">
    <mergeCell ref="J20:L20"/>
    <mergeCell ref="A3:C4"/>
    <mergeCell ref="A20:C21"/>
    <mergeCell ref="D20:F20"/>
    <mergeCell ref="G20:I20"/>
  </mergeCells>
  <printOptions/>
  <pageMargins left="0.5" right="0.3" top="0.75" bottom="0.42" header="0.5" footer="0.25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C48"/>
  <sheetViews>
    <sheetView zoomScalePageLayoutView="0" workbookViewId="0" topLeftCell="A1">
      <selection activeCell="V32" sqref="V32"/>
    </sheetView>
  </sheetViews>
  <sheetFormatPr defaultColWidth="9.140625" defaultRowHeight="12.75"/>
  <cols>
    <col min="1" max="1" width="9.140625" style="804" customWidth="1"/>
    <col min="2" max="2" width="8.57421875" style="804" customWidth="1"/>
    <col min="3" max="3" width="10.140625" style="804" customWidth="1"/>
    <col min="4" max="8" width="9.140625" style="804" hidden="1" customWidth="1"/>
    <col min="9" max="9" width="5.140625" style="804" hidden="1" customWidth="1"/>
    <col min="10" max="15" width="11.7109375" style="804" hidden="1" customWidth="1"/>
    <col min="16" max="18" width="10.28125" style="804" hidden="1" customWidth="1"/>
    <col min="19" max="27" width="10.28125" style="804" customWidth="1"/>
    <col min="28" max="28" width="7.8515625" style="804" customWidth="1"/>
    <col min="29" max="242" width="9.140625" style="884" customWidth="1"/>
    <col min="243" max="16384" width="9.140625" style="804" customWidth="1"/>
  </cols>
  <sheetData>
    <row r="1" spans="1:29" ht="15.75">
      <c r="A1" s="1208" t="s">
        <v>363</v>
      </c>
      <c r="B1" s="1208"/>
      <c r="C1" s="1208"/>
      <c r="D1" s="1208"/>
      <c r="E1" s="1208"/>
      <c r="F1" s="1208"/>
      <c r="G1" s="1208"/>
      <c r="H1" s="1208"/>
      <c r="I1" s="1208"/>
      <c r="J1" s="1208"/>
      <c r="K1" s="1208"/>
      <c r="L1" s="1208"/>
      <c r="M1" s="1208"/>
      <c r="N1" s="1208"/>
      <c r="O1" s="1208"/>
      <c r="P1" s="1208"/>
      <c r="Q1" s="1208"/>
      <c r="R1" s="1208"/>
      <c r="S1" s="1208"/>
      <c r="T1" s="1208"/>
      <c r="U1" s="1208"/>
      <c r="V1" s="1208"/>
      <c r="W1" s="1208"/>
      <c r="X1" s="1208"/>
      <c r="Y1" s="1208"/>
      <c r="Z1" s="1208"/>
      <c r="AA1" s="1208"/>
      <c r="AB1" s="1208"/>
      <c r="AC1" s="1208"/>
    </row>
    <row r="2" spans="1:28" ht="15.75">
      <c r="A2" s="801"/>
      <c r="B2" s="801"/>
      <c r="C2" s="801"/>
      <c r="D2" s="802"/>
      <c r="E2" s="802"/>
      <c r="F2" s="802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01"/>
      <c r="X2" s="801"/>
      <c r="Y2" s="801"/>
      <c r="Z2" s="801"/>
      <c r="AA2" s="801"/>
      <c r="AB2" s="803"/>
    </row>
    <row r="3" spans="1:28" ht="16.5" thickBot="1">
      <c r="A3" s="805" t="s">
        <v>199</v>
      </c>
      <c r="B3" s="801"/>
      <c r="C3" s="801"/>
      <c r="D3" s="802"/>
      <c r="E3" s="802"/>
      <c r="F3" s="802"/>
      <c r="G3" s="806"/>
      <c r="H3" s="806"/>
      <c r="I3" s="806"/>
      <c r="J3" s="801"/>
      <c r="K3" s="801"/>
      <c r="L3" s="801"/>
      <c r="M3" s="801"/>
      <c r="N3" s="801"/>
      <c r="O3" s="801"/>
      <c r="P3" s="801"/>
      <c r="Q3" s="801"/>
      <c r="R3" s="801"/>
      <c r="S3" s="801"/>
      <c r="T3" s="801"/>
      <c r="U3" s="801"/>
      <c r="V3" s="801"/>
      <c r="W3" s="801"/>
      <c r="X3" s="801"/>
      <c r="Y3" s="801"/>
      <c r="Z3" s="801"/>
      <c r="AA3" s="801"/>
      <c r="AB3" s="459"/>
    </row>
    <row r="4" spans="1:28" ht="15" customHeight="1">
      <c r="A4" s="1510" t="s">
        <v>200</v>
      </c>
      <c r="B4" s="1511"/>
      <c r="C4" s="1512"/>
      <c r="D4" s="1516">
        <v>2001</v>
      </c>
      <c r="E4" s="1517"/>
      <c r="F4" s="1518"/>
      <c r="G4" s="1507">
        <v>2002</v>
      </c>
      <c r="H4" s="1508"/>
      <c r="I4" s="1509"/>
      <c r="J4" s="1507">
        <v>2003</v>
      </c>
      <c r="K4" s="1508"/>
      <c r="L4" s="1509"/>
      <c r="M4" s="1507">
        <v>2004</v>
      </c>
      <c r="N4" s="1508"/>
      <c r="O4" s="1509"/>
      <c r="P4" s="1507">
        <v>2005</v>
      </c>
      <c r="Q4" s="1508"/>
      <c r="R4" s="1509"/>
      <c r="S4" s="1507">
        <v>2006</v>
      </c>
      <c r="T4" s="1508"/>
      <c r="U4" s="1509"/>
      <c r="V4" s="1507">
        <v>2007</v>
      </c>
      <c r="W4" s="1508"/>
      <c r="X4" s="1509"/>
      <c r="Y4" s="1507">
        <v>2008</v>
      </c>
      <c r="Z4" s="1508"/>
      <c r="AA4" s="1509"/>
      <c r="AB4" s="807"/>
    </row>
    <row r="5" spans="1:28" ht="30" customHeight="1">
      <c r="A5" s="1513"/>
      <c r="B5" s="1514"/>
      <c r="C5" s="1515"/>
      <c r="D5" s="808" t="s">
        <v>201</v>
      </c>
      <c r="E5" s="809" t="s">
        <v>202</v>
      </c>
      <c r="F5" s="810" t="s">
        <v>203</v>
      </c>
      <c r="G5" s="811" t="s">
        <v>201</v>
      </c>
      <c r="H5" s="812" t="s">
        <v>202</v>
      </c>
      <c r="I5" s="813" t="s">
        <v>203</v>
      </c>
      <c r="J5" s="811" t="s">
        <v>201</v>
      </c>
      <c r="K5" s="812" t="s">
        <v>202</v>
      </c>
      <c r="L5" s="813" t="s">
        <v>203</v>
      </c>
      <c r="M5" s="811" t="s">
        <v>204</v>
      </c>
      <c r="N5" s="812" t="s">
        <v>202</v>
      </c>
      <c r="O5" s="813" t="s">
        <v>203</v>
      </c>
      <c r="P5" s="1205" t="s">
        <v>130</v>
      </c>
      <c r="Q5" s="1206" t="s">
        <v>202</v>
      </c>
      <c r="R5" s="1207" t="s">
        <v>203</v>
      </c>
      <c r="S5" s="1205" t="s">
        <v>130</v>
      </c>
      <c r="T5" s="1206" t="s">
        <v>202</v>
      </c>
      <c r="U5" s="1207" t="s">
        <v>203</v>
      </c>
      <c r="V5" s="1205" t="s">
        <v>130</v>
      </c>
      <c r="W5" s="812" t="s">
        <v>202</v>
      </c>
      <c r="X5" s="1207" t="s">
        <v>203</v>
      </c>
      <c r="Y5" s="1205" t="s">
        <v>130</v>
      </c>
      <c r="Z5" s="812" t="s">
        <v>202</v>
      </c>
      <c r="AA5" s="1207" t="s">
        <v>203</v>
      </c>
      <c r="AB5" s="807"/>
    </row>
    <row r="6" spans="1:28" ht="22.5" customHeight="1">
      <c r="A6" s="1521" t="s">
        <v>105</v>
      </c>
      <c r="B6" s="1522"/>
      <c r="C6" s="1522"/>
      <c r="D6" s="1522"/>
      <c r="E6" s="1522"/>
      <c r="F6" s="1522"/>
      <c r="G6" s="1522"/>
      <c r="H6" s="1522"/>
      <c r="I6" s="1522"/>
      <c r="J6" s="1522"/>
      <c r="K6" s="1522"/>
      <c r="L6" s="1522"/>
      <c r="M6" s="1522"/>
      <c r="N6" s="1522"/>
      <c r="O6" s="1522"/>
      <c r="P6" s="1522"/>
      <c r="Q6" s="1522"/>
      <c r="R6" s="1522"/>
      <c r="S6" s="1522"/>
      <c r="T6" s="1522"/>
      <c r="U6" s="1522"/>
      <c r="V6" s="1522"/>
      <c r="W6" s="1522"/>
      <c r="X6" s="1522"/>
      <c r="Y6" s="1522"/>
      <c r="Z6" s="1522"/>
      <c r="AA6" s="1523"/>
      <c r="AB6" s="807"/>
    </row>
    <row r="7" spans="1:28" ht="15.75" customHeight="1">
      <c r="A7" s="814"/>
      <c r="B7" s="815"/>
      <c r="C7" s="816" t="s">
        <v>5</v>
      </c>
      <c r="D7" s="817">
        <v>14248</v>
      </c>
      <c r="E7" s="818">
        <f>SUM(E8:E9)</f>
        <v>10918</v>
      </c>
      <c r="F7" s="819">
        <f>E7/D7*100</f>
        <v>76.62829870859068</v>
      </c>
      <c r="G7" s="817">
        <v>14527</v>
      </c>
      <c r="H7" s="818">
        <v>10843</v>
      </c>
      <c r="I7" s="819">
        <f>H7/G7*100</f>
        <v>74.64032491223239</v>
      </c>
      <c r="J7" s="817">
        <v>14579</v>
      </c>
      <c r="K7" s="818">
        <v>11007</v>
      </c>
      <c r="L7" s="819">
        <f aca="true" t="shared" si="0" ref="L7:L25">K7/J7*100</f>
        <v>75.499005418753</v>
      </c>
      <c r="M7" s="817">
        <f>SUM(M8:M9)</f>
        <v>14809</v>
      </c>
      <c r="N7" s="818">
        <f>SUM(N8:N9)</f>
        <v>11483</v>
      </c>
      <c r="O7" s="819">
        <f aca="true" t="shared" si="1" ref="O7:O15">N7/M7*100</f>
        <v>77.5406847187521</v>
      </c>
      <c r="P7" s="817">
        <f>SUM(P8:P9)</f>
        <v>15501</v>
      </c>
      <c r="Q7" s="818">
        <f>SUM(Q8:Q9)</f>
        <v>12149</v>
      </c>
      <c r="R7" s="819">
        <f>Q7/P7*100</f>
        <v>78.37558867169861</v>
      </c>
      <c r="S7" s="834">
        <f>SUM(S8:S9)</f>
        <v>16448</v>
      </c>
      <c r="T7" s="818">
        <f>SUM(T8:T9)</f>
        <v>12971</v>
      </c>
      <c r="U7" s="820">
        <f>T7/S7*100</f>
        <v>78.86065175097276</v>
      </c>
      <c r="V7" s="834">
        <f>SUM(V8:V9)</f>
        <v>17343</v>
      </c>
      <c r="W7" s="835">
        <f>SUM(W8:W9)</f>
        <v>13298</v>
      </c>
      <c r="X7" s="836">
        <f>W7/V7*100</f>
        <v>76.6764688923485</v>
      </c>
      <c r="Y7" s="834">
        <f>SUM(Y8:Y9)</f>
        <v>17794</v>
      </c>
      <c r="Z7" s="835">
        <f>SUM(Z8:Z9)</f>
        <v>13617</v>
      </c>
      <c r="AA7" s="836">
        <f>Z7/Y7*100</f>
        <v>76.52579521186918</v>
      </c>
      <c r="AB7" s="807"/>
    </row>
    <row r="8" spans="1:28" ht="15.75" customHeight="1">
      <c r="A8" s="821" t="s">
        <v>205</v>
      </c>
      <c r="B8" s="822"/>
      <c r="C8" s="816" t="s">
        <v>43</v>
      </c>
      <c r="D8" s="817">
        <v>6564</v>
      </c>
      <c r="E8" s="823">
        <v>4884</v>
      </c>
      <c r="F8" s="819">
        <f>E8/D8*100</f>
        <v>74.40585009140767</v>
      </c>
      <c r="G8" s="817">
        <v>6697</v>
      </c>
      <c r="H8" s="823">
        <v>4844</v>
      </c>
      <c r="I8" s="819">
        <f aca="true" t="shared" si="2" ref="I8:I25">H8/G8*100</f>
        <v>72.33089443034194</v>
      </c>
      <c r="J8" s="817">
        <v>6765</v>
      </c>
      <c r="K8" s="823">
        <v>4936</v>
      </c>
      <c r="L8" s="819">
        <f t="shared" si="0"/>
        <v>72.96378418329638</v>
      </c>
      <c r="M8" s="817">
        <f>M18+M28</f>
        <v>6876</v>
      </c>
      <c r="N8" s="818">
        <f>N18+N28</f>
        <v>5184</v>
      </c>
      <c r="O8" s="819">
        <f t="shared" si="1"/>
        <v>75.39267015706807</v>
      </c>
      <c r="P8" s="817">
        <f>P18+P28</f>
        <v>7316</v>
      </c>
      <c r="Q8" s="818">
        <f>Q18+Q28</f>
        <v>5503</v>
      </c>
      <c r="R8" s="819">
        <f>Q8/P8*100</f>
        <v>75.21869874248223</v>
      </c>
      <c r="S8" s="817">
        <f>S18+S28</f>
        <v>7790</v>
      </c>
      <c r="T8" s="818">
        <f>T18+T28</f>
        <v>5803</v>
      </c>
      <c r="U8" s="820">
        <f>T8/S8*100</f>
        <v>74.49293966623877</v>
      </c>
      <c r="V8" s="817">
        <f>V18+V28</f>
        <v>8213</v>
      </c>
      <c r="W8" s="818">
        <f>W18+W28</f>
        <v>5889</v>
      </c>
      <c r="X8" s="837">
        <f>W8/V8*100</f>
        <v>71.70339705345185</v>
      </c>
      <c r="Y8" s="817">
        <f>Y18+Y28</f>
        <v>8262</v>
      </c>
      <c r="Z8" s="818">
        <f>Z18+Z28</f>
        <v>5908</v>
      </c>
      <c r="AA8" s="837">
        <f>Z8/Y8*100</f>
        <v>71.50810941660615</v>
      </c>
      <c r="AB8" s="807"/>
    </row>
    <row r="9" spans="1:28" ht="15.75" customHeight="1">
      <c r="A9" s="824" t="s">
        <v>102</v>
      </c>
      <c r="B9" s="825"/>
      <c r="C9" s="826" t="s">
        <v>44</v>
      </c>
      <c r="D9" s="827">
        <v>7684</v>
      </c>
      <c r="E9" s="828">
        <v>6034</v>
      </c>
      <c r="F9" s="829">
        <f>E9/D9*100</f>
        <v>78.52680895366997</v>
      </c>
      <c r="G9" s="827">
        <v>7830</v>
      </c>
      <c r="H9" s="828">
        <v>5999</v>
      </c>
      <c r="I9" s="829">
        <f t="shared" si="2"/>
        <v>76.61558109833973</v>
      </c>
      <c r="J9" s="827">
        <v>7814</v>
      </c>
      <c r="K9" s="828">
        <v>6071</v>
      </c>
      <c r="L9" s="829">
        <f t="shared" si="0"/>
        <v>77.6938827745073</v>
      </c>
      <c r="M9" s="830">
        <f>M19+M29</f>
        <v>7933</v>
      </c>
      <c r="N9" s="828">
        <f>N19+N29</f>
        <v>6299</v>
      </c>
      <c r="O9" s="829">
        <f t="shared" si="1"/>
        <v>79.4024959031892</v>
      </c>
      <c r="P9" s="830">
        <f>P19+P29</f>
        <v>8185</v>
      </c>
      <c r="Q9" s="828">
        <f>Q19+Q29</f>
        <v>6646</v>
      </c>
      <c r="R9" s="829">
        <f>Q9/P9*100</f>
        <v>81.19731215638363</v>
      </c>
      <c r="S9" s="827">
        <f>S19+S29</f>
        <v>8658</v>
      </c>
      <c r="T9" s="818">
        <f>T19+T29</f>
        <v>7168</v>
      </c>
      <c r="U9" s="820">
        <f>T9/S9*100</f>
        <v>82.79048279048278</v>
      </c>
      <c r="V9" s="817">
        <f>V19+V29</f>
        <v>9130</v>
      </c>
      <c r="W9" s="818">
        <f>W19+W29</f>
        <v>7409</v>
      </c>
      <c r="X9" s="837">
        <f>W9/V9*100</f>
        <v>81.15005476451259</v>
      </c>
      <c r="Y9" s="817">
        <f>Y19+Y29</f>
        <v>9532</v>
      </c>
      <c r="Z9" s="818">
        <f>Z19+Z29</f>
        <v>7709</v>
      </c>
      <c r="AA9" s="837">
        <f>Z9/Y9*100</f>
        <v>80.87494754511121</v>
      </c>
      <c r="AB9" s="807"/>
    </row>
    <row r="10" spans="1:28" ht="15.75" customHeight="1">
      <c r="A10" s="831"/>
      <c r="B10" s="832"/>
      <c r="C10" s="816" t="s">
        <v>5</v>
      </c>
      <c r="D10" s="817">
        <f>SUM(D11:D12)</f>
        <v>4215</v>
      </c>
      <c r="E10" s="823">
        <f>SUM(E11:E12)</f>
        <v>3786</v>
      </c>
      <c r="F10" s="819">
        <f aca="true" t="shared" si="3" ref="F10:F15">E10/D10*100</f>
        <v>89.8220640569395</v>
      </c>
      <c r="G10" s="817">
        <v>5631</v>
      </c>
      <c r="H10" s="823">
        <v>4666</v>
      </c>
      <c r="I10" s="819">
        <f t="shared" si="2"/>
        <v>82.86272420529214</v>
      </c>
      <c r="J10" s="817">
        <v>5683</v>
      </c>
      <c r="K10" s="823">
        <v>4691</v>
      </c>
      <c r="L10" s="819">
        <f t="shared" si="0"/>
        <v>82.54443075840226</v>
      </c>
      <c r="M10" s="833">
        <f>SUM(M11:M12)</f>
        <v>4865</v>
      </c>
      <c r="N10" s="823">
        <f>SUM(N11:N12)</f>
        <v>4259</v>
      </c>
      <c r="O10" s="819">
        <f t="shared" si="1"/>
        <v>87.5436793422405</v>
      </c>
      <c r="P10" s="833">
        <f>SUM(P11:P12)</f>
        <v>4737</v>
      </c>
      <c r="Q10" s="823">
        <f>SUM(Q11:Q12)</f>
        <v>4258</v>
      </c>
      <c r="R10" s="819">
        <f aca="true" t="shared" si="4" ref="R10:R15">Q10/P10*100</f>
        <v>89.88811484061642</v>
      </c>
      <c r="S10" s="834">
        <f>SUM(S11:S12)</f>
        <v>5111</v>
      </c>
      <c r="T10" s="835">
        <f>SUM(T11:T12)</f>
        <v>4550</v>
      </c>
      <c r="U10" s="996">
        <f aca="true" t="shared" si="5" ref="U10:U15">T10/S10*100</f>
        <v>89.02367442770495</v>
      </c>
      <c r="V10" s="834">
        <f>SUM(V11:V12)</f>
        <v>6804</v>
      </c>
      <c r="W10" s="835">
        <f>SUM(W11:W12)</f>
        <v>5680</v>
      </c>
      <c r="X10" s="836">
        <f aca="true" t="shared" si="6" ref="X10:X15">W10/V10*100</f>
        <v>83.48030570252793</v>
      </c>
      <c r="Y10" s="834">
        <f>SUM(Y11:Y12)</f>
        <v>8280</v>
      </c>
      <c r="Z10" s="835">
        <f>SUM(Z11:Z12)</f>
        <v>6871</v>
      </c>
      <c r="AA10" s="836">
        <f aca="true" t="shared" si="7" ref="AA10:AA15">Z10/Y10*100</f>
        <v>82.9830917874396</v>
      </c>
      <c r="AB10" s="807"/>
    </row>
    <row r="11" spans="1:28" ht="15.75" customHeight="1">
      <c r="A11" s="1519" t="s">
        <v>206</v>
      </c>
      <c r="B11" s="1520"/>
      <c r="C11" s="816" t="s">
        <v>43</v>
      </c>
      <c r="D11" s="817">
        <v>2279</v>
      </c>
      <c r="E11" s="823">
        <v>1986</v>
      </c>
      <c r="F11" s="819">
        <f t="shared" si="3"/>
        <v>87.1434839842036</v>
      </c>
      <c r="G11" s="817">
        <v>3013</v>
      </c>
      <c r="H11" s="823">
        <v>2373</v>
      </c>
      <c r="I11" s="819">
        <f t="shared" si="2"/>
        <v>78.75871224692997</v>
      </c>
      <c r="J11" s="817">
        <v>3049</v>
      </c>
      <c r="K11" s="823">
        <v>2343</v>
      </c>
      <c r="L11" s="819">
        <f t="shared" si="0"/>
        <v>76.84486716956378</v>
      </c>
      <c r="M11" s="833">
        <v>2504</v>
      </c>
      <c r="N11" s="823">
        <v>2092</v>
      </c>
      <c r="O11" s="819">
        <f t="shared" si="1"/>
        <v>83.54632587859425</v>
      </c>
      <c r="P11" s="833">
        <v>2381</v>
      </c>
      <c r="Q11" s="823">
        <v>2065</v>
      </c>
      <c r="R11" s="819">
        <f t="shared" si="4"/>
        <v>86.72826543469131</v>
      </c>
      <c r="S11" s="817">
        <v>2596</v>
      </c>
      <c r="T11" s="818">
        <v>2172</v>
      </c>
      <c r="U11" s="820">
        <f t="shared" si="5"/>
        <v>83.66718027734977</v>
      </c>
      <c r="V11" s="817">
        <v>3336</v>
      </c>
      <c r="W11" s="818">
        <v>2597</v>
      </c>
      <c r="X11" s="837">
        <f t="shared" si="6"/>
        <v>77.84772182254197</v>
      </c>
      <c r="Y11" s="817">
        <v>3919</v>
      </c>
      <c r="Z11" s="818">
        <v>3042</v>
      </c>
      <c r="AA11" s="837">
        <f t="shared" si="7"/>
        <v>77.6218423067109</v>
      </c>
      <c r="AB11" s="807"/>
    </row>
    <row r="12" spans="1:28" ht="15.75" customHeight="1">
      <c r="A12" s="838"/>
      <c r="B12" s="839" t="s">
        <v>102</v>
      </c>
      <c r="C12" s="826" t="s">
        <v>44</v>
      </c>
      <c r="D12" s="827">
        <v>1936</v>
      </c>
      <c r="E12" s="828">
        <v>1800</v>
      </c>
      <c r="F12" s="829">
        <f t="shared" si="3"/>
        <v>92.97520661157024</v>
      </c>
      <c r="G12" s="827">
        <v>2618</v>
      </c>
      <c r="H12" s="828">
        <v>2293</v>
      </c>
      <c r="I12" s="829">
        <f t="shared" si="2"/>
        <v>87.5859434682964</v>
      </c>
      <c r="J12" s="827">
        <v>2634</v>
      </c>
      <c r="K12" s="828">
        <v>2348</v>
      </c>
      <c r="L12" s="829">
        <f t="shared" si="0"/>
        <v>89.14198936977981</v>
      </c>
      <c r="M12" s="830">
        <v>2361</v>
      </c>
      <c r="N12" s="828">
        <v>2167</v>
      </c>
      <c r="O12" s="829">
        <f t="shared" si="1"/>
        <v>91.78314273612877</v>
      </c>
      <c r="P12" s="830">
        <v>2356</v>
      </c>
      <c r="Q12" s="828">
        <v>2193</v>
      </c>
      <c r="R12" s="829">
        <f t="shared" si="4"/>
        <v>93.08149405772495</v>
      </c>
      <c r="S12" s="827">
        <v>2515</v>
      </c>
      <c r="T12" s="840">
        <v>2378</v>
      </c>
      <c r="U12" s="997">
        <f t="shared" si="5"/>
        <v>94.55268389662028</v>
      </c>
      <c r="V12" s="827">
        <v>3468</v>
      </c>
      <c r="W12" s="840">
        <v>3083</v>
      </c>
      <c r="X12" s="841">
        <f t="shared" si="6"/>
        <v>88.89850057670127</v>
      </c>
      <c r="Y12" s="827">
        <v>4361</v>
      </c>
      <c r="Z12" s="840">
        <v>3829</v>
      </c>
      <c r="AA12" s="841">
        <f t="shared" si="7"/>
        <v>87.80096308186197</v>
      </c>
      <c r="AB12" s="807"/>
    </row>
    <row r="13" spans="1:28" ht="15.75" customHeight="1">
      <c r="A13" s="842"/>
      <c r="B13" s="843"/>
      <c r="C13" s="816" t="s">
        <v>5</v>
      </c>
      <c r="D13" s="844">
        <f>D7-D10</f>
        <v>10033</v>
      </c>
      <c r="E13" s="845">
        <f>E7-E10</f>
        <v>7132</v>
      </c>
      <c r="F13" s="819">
        <f t="shared" si="3"/>
        <v>71.08541812020333</v>
      </c>
      <c r="G13" s="844">
        <f>G7-G10</f>
        <v>8896</v>
      </c>
      <c r="H13" s="845">
        <f>H7-H10</f>
        <v>6177</v>
      </c>
      <c r="I13" s="819">
        <f t="shared" si="2"/>
        <v>69.43570143884892</v>
      </c>
      <c r="J13" s="844">
        <f>J7-J10</f>
        <v>8896</v>
      </c>
      <c r="K13" s="845">
        <f>K7-K10</f>
        <v>6316</v>
      </c>
      <c r="L13" s="819">
        <f t="shared" si="0"/>
        <v>70.99820143884892</v>
      </c>
      <c r="M13" s="844">
        <f>M7-M10</f>
        <v>9944</v>
      </c>
      <c r="N13" s="845">
        <f>N7-N10</f>
        <v>7224</v>
      </c>
      <c r="O13" s="819">
        <f t="shared" si="1"/>
        <v>72.64682220434433</v>
      </c>
      <c r="P13" s="844">
        <f>P7-P10</f>
        <v>10764</v>
      </c>
      <c r="Q13" s="845">
        <f>Q7-Q10</f>
        <v>7891</v>
      </c>
      <c r="R13" s="819">
        <f t="shared" si="4"/>
        <v>73.30917874396135</v>
      </c>
      <c r="S13" s="834">
        <f>S7-S10</f>
        <v>11337</v>
      </c>
      <c r="T13" s="835">
        <f>T7-T10</f>
        <v>8421</v>
      </c>
      <c r="U13" s="836">
        <f t="shared" si="5"/>
        <v>74.27890976448795</v>
      </c>
      <c r="V13" s="817">
        <f>V7-V10</f>
        <v>10539</v>
      </c>
      <c r="W13" s="818">
        <f>W7-W10</f>
        <v>7618</v>
      </c>
      <c r="X13" s="837">
        <f t="shared" si="6"/>
        <v>72.28389790302685</v>
      </c>
      <c r="Y13" s="817">
        <f>Y7-Y10</f>
        <v>9514</v>
      </c>
      <c r="Z13" s="818">
        <f>Z7-Z10</f>
        <v>6746</v>
      </c>
      <c r="AA13" s="837">
        <f t="shared" si="7"/>
        <v>70.90603321421064</v>
      </c>
      <c r="AB13" s="807"/>
    </row>
    <row r="14" spans="1:28" ht="15.75" customHeight="1">
      <c r="A14" s="821" t="s">
        <v>207</v>
      </c>
      <c r="B14" s="822"/>
      <c r="C14" s="816" t="s">
        <v>43</v>
      </c>
      <c r="D14" s="846">
        <f>D8-D11</f>
        <v>4285</v>
      </c>
      <c r="E14" s="845">
        <f>E8-E11</f>
        <v>2898</v>
      </c>
      <c r="F14" s="819">
        <f t="shared" si="3"/>
        <v>67.63127187864643</v>
      </c>
      <c r="G14" s="846">
        <f>G8-G11</f>
        <v>3684</v>
      </c>
      <c r="H14" s="845">
        <f>H8-H11</f>
        <v>2471</v>
      </c>
      <c r="I14" s="819">
        <f t="shared" si="2"/>
        <v>67.07383279044517</v>
      </c>
      <c r="J14" s="846">
        <f>J8-J11</f>
        <v>3716</v>
      </c>
      <c r="K14" s="845">
        <f>K8-K11</f>
        <v>2593</v>
      </c>
      <c r="L14" s="819">
        <f t="shared" si="0"/>
        <v>69.77933261571583</v>
      </c>
      <c r="M14" s="846">
        <f>M8-M11</f>
        <v>4372</v>
      </c>
      <c r="N14" s="845">
        <f>N8-N11</f>
        <v>3092</v>
      </c>
      <c r="O14" s="819">
        <f t="shared" si="1"/>
        <v>70.7227813357731</v>
      </c>
      <c r="P14" s="846">
        <f>P8-P11</f>
        <v>4935</v>
      </c>
      <c r="Q14" s="845">
        <f>Q8-Q11</f>
        <v>3438</v>
      </c>
      <c r="R14" s="819">
        <f t="shared" si="4"/>
        <v>69.66565349544072</v>
      </c>
      <c r="S14" s="817">
        <v>5194</v>
      </c>
      <c r="T14" s="818">
        <v>3631</v>
      </c>
      <c r="U14" s="837">
        <f t="shared" si="5"/>
        <v>69.90758567577974</v>
      </c>
      <c r="V14" s="817">
        <v>4877</v>
      </c>
      <c r="W14" s="818">
        <v>3292</v>
      </c>
      <c r="X14" s="837">
        <f t="shared" si="6"/>
        <v>67.50051261021119</v>
      </c>
      <c r="Y14" s="817">
        <v>4343</v>
      </c>
      <c r="Z14" s="818">
        <v>2866</v>
      </c>
      <c r="AA14" s="837">
        <f t="shared" si="7"/>
        <v>65.99125028781948</v>
      </c>
      <c r="AB14" s="807"/>
    </row>
    <row r="15" spans="1:28" ht="15.75" customHeight="1">
      <c r="A15" s="824" t="s">
        <v>102</v>
      </c>
      <c r="B15" s="825"/>
      <c r="C15" s="826" t="s">
        <v>44</v>
      </c>
      <c r="D15" s="847">
        <f>D13-D14</f>
        <v>5748</v>
      </c>
      <c r="E15" s="848">
        <f>E13-E14</f>
        <v>4234</v>
      </c>
      <c r="F15" s="829">
        <f t="shared" si="3"/>
        <v>73.66040361864997</v>
      </c>
      <c r="G15" s="847">
        <f>G13-G14</f>
        <v>5212</v>
      </c>
      <c r="H15" s="848">
        <f>H13-H14</f>
        <v>3706</v>
      </c>
      <c r="I15" s="829">
        <f t="shared" si="2"/>
        <v>71.10514198004606</v>
      </c>
      <c r="J15" s="847">
        <f>J13-J14</f>
        <v>5180</v>
      </c>
      <c r="K15" s="848">
        <f>K13-K14</f>
        <v>3723</v>
      </c>
      <c r="L15" s="829">
        <f t="shared" si="0"/>
        <v>71.87258687258688</v>
      </c>
      <c r="M15" s="847">
        <f>M13-M14</f>
        <v>5572</v>
      </c>
      <c r="N15" s="848">
        <f>N13-N14</f>
        <v>4132</v>
      </c>
      <c r="O15" s="829">
        <f t="shared" si="1"/>
        <v>74.1564967695621</v>
      </c>
      <c r="P15" s="847">
        <f>P13-P14</f>
        <v>5829</v>
      </c>
      <c r="Q15" s="848">
        <f>Q13-Q14</f>
        <v>4453</v>
      </c>
      <c r="R15" s="829">
        <f t="shared" si="4"/>
        <v>76.39389260593585</v>
      </c>
      <c r="S15" s="827">
        <v>6143</v>
      </c>
      <c r="T15" s="840">
        <v>4790</v>
      </c>
      <c r="U15" s="841">
        <f t="shared" si="5"/>
        <v>77.97493081556243</v>
      </c>
      <c r="V15" s="827">
        <v>5662</v>
      </c>
      <c r="W15" s="840">
        <v>4326</v>
      </c>
      <c r="X15" s="841">
        <f t="shared" si="6"/>
        <v>76.40409749205229</v>
      </c>
      <c r="Y15" s="827">
        <v>5171</v>
      </c>
      <c r="Z15" s="840">
        <v>3880</v>
      </c>
      <c r="AA15" s="841">
        <f t="shared" si="7"/>
        <v>75.03384258363953</v>
      </c>
      <c r="AB15" s="807"/>
    </row>
    <row r="16" spans="1:28" ht="22.5" customHeight="1">
      <c r="A16" s="1504" t="s">
        <v>2</v>
      </c>
      <c r="B16" s="1505"/>
      <c r="C16" s="1505"/>
      <c r="D16" s="1505"/>
      <c r="E16" s="1505"/>
      <c r="F16" s="1505"/>
      <c r="G16" s="1505"/>
      <c r="H16" s="1505"/>
      <c r="I16" s="1505"/>
      <c r="J16" s="1505"/>
      <c r="K16" s="1505"/>
      <c r="L16" s="1505"/>
      <c r="M16" s="1505"/>
      <c r="N16" s="1505"/>
      <c r="O16" s="1505"/>
      <c r="P16" s="1505"/>
      <c r="Q16" s="1505"/>
      <c r="R16" s="1505"/>
      <c r="S16" s="1505"/>
      <c r="T16" s="1505"/>
      <c r="U16" s="1505"/>
      <c r="V16" s="1505"/>
      <c r="W16" s="1505"/>
      <c r="X16" s="1505"/>
      <c r="Y16" s="1505"/>
      <c r="Z16" s="1505"/>
      <c r="AA16" s="1506"/>
      <c r="AB16" s="807"/>
    </row>
    <row r="17" spans="1:28" ht="15.75" customHeight="1">
      <c r="A17" s="849"/>
      <c r="B17" s="850"/>
      <c r="C17" s="816" t="s">
        <v>5</v>
      </c>
      <c r="D17" s="846">
        <f aca="true" t="shared" si="8" ref="D17:E19">D7-D27</f>
        <v>13607</v>
      </c>
      <c r="E17" s="845">
        <f t="shared" si="8"/>
        <v>10569</v>
      </c>
      <c r="F17" s="819">
        <f aca="true" t="shared" si="9" ref="F17:F25">E17/D17*100</f>
        <v>77.67325641214082</v>
      </c>
      <c r="G17" s="846">
        <f aca="true" t="shared" si="10" ref="G17:H19">G7-G27</f>
        <v>13997</v>
      </c>
      <c r="H17" s="845">
        <f t="shared" si="10"/>
        <v>10526</v>
      </c>
      <c r="I17" s="819">
        <f t="shared" si="2"/>
        <v>75.2018289633493</v>
      </c>
      <c r="J17" s="846">
        <v>14055</v>
      </c>
      <c r="K17" s="845">
        <v>10699</v>
      </c>
      <c r="L17" s="819">
        <f t="shared" si="0"/>
        <v>76.12237637851298</v>
      </c>
      <c r="M17" s="851">
        <f>SUM(M18:M19)</f>
        <v>14297</v>
      </c>
      <c r="N17" s="852">
        <f>SUM(N18:N19)</f>
        <v>11169</v>
      </c>
      <c r="O17" s="819">
        <f aca="true" t="shared" si="11" ref="O17:O25">N17/M17*100</f>
        <v>78.12128418549345</v>
      </c>
      <c r="P17" s="851">
        <f>SUM(P18:P19)</f>
        <v>14951</v>
      </c>
      <c r="Q17" s="852">
        <f>SUM(Q18:Q19)</f>
        <v>11814</v>
      </c>
      <c r="R17" s="819">
        <f aca="true" t="shared" si="12" ref="R17:R25">Q17/P17*100</f>
        <v>79.0181258778677</v>
      </c>
      <c r="S17" s="834">
        <f>SUM(S18:S19)</f>
        <v>15871</v>
      </c>
      <c r="T17" s="835">
        <f>SUM(T18:T19)</f>
        <v>12565</v>
      </c>
      <c r="U17" s="836">
        <f aca="true" t="shared" si="13" ref="U17:U25">T17/S17*100</f>
        <v>79.16955453342574</v>
      </c>
      <c r="V17" s="818">
        <f>SUM(V18:V19)</f>
        <v>16761</v>
      </c>
      <c r="W17" s="818">
        <f>SUM(W18:W19)</f>
        <v>12866</v>
      </c>
      <c r="X17" s="836">
        <f aca="true" t="shared" si="14" ref="X17:X25">W17/V17*100</f>
        <v>76.76152974166219</v>
      </c>
      <c r="Y17" s="818">
        <f>SUM(Y18:Y19)</f>
        <v>17227</v>
      </c>
      <c r="Z17" s="818">
        <f>SUM(Z18:Z19)</f>
        <v>13211</v>
      </c>
      <c r="AA17" s="836">
        <f aca="true" t="shared" si="15" ref="AA17:AA25">Z17/Y17*100</f>
        <v>76.68775758982991</v>
      </c>
      <c r="AB17" s="807"/>
    </row>
    <row r="18" spans="1:28" ht="15.75" customHeight="1">
      <c r="A18" s="853" t="s">
        <v>205</v>
      </c>
      <c r="B18" s="854"/>
      <c r="C18" s="816" t="s">
        <v>43</v>
      </c>
      <c r="D18" s="846">
        <f t="shared" si="8"/>
        <v>6277</v>
      </c>
      <c r="E18" s="845">
        <f t="shared" si="8"/>
        <v>4716</v>
      </c>
      <c r="F18" s="819">
        <f t="shared" si="9"/>
        <v>75.13143221284054</v>
      </c>
      <c r="G18" s="846">
        <f t="shared" si="10"/>
        <v>6476</v>
      </c>
      <c r="H18" s="845">
        <f t="shared" si="10"/>
        <v>4712</v>
      </c>
      <c r="I18" s="819">
        <f t="shared" si="2"/>
        <v>72.7609635577517</v>
      </c>
      <c r="J18" s="846">
        <v>6548</v>
      </c>
      <c r="K18" s="845">
        <v>4812</v>
      </c>
      <c r="L18" s="819">
        <f t="shared" si="0"/>
        <v>73.48808796579108</v>
      </c>
      <c r="M18" s="851">
        <f>M21+M24</f>
        <v>6641</v>
      </c>
      <c r="N18" s="852">
        <f>N21+N24</f>
        <v>5038</v>
      </c>
      <c r="O18" s="819">
        <f t="shared" si="11"/>
        <v>75.86206896551724</v>
      </c>
      <c r="P18" s="851">
        <f>P21+P24</f>
        <v>7069</v>
      </c>
      <c r="Q18" s="852">
        <f>Q21+Q24</f>
        <v>5358</v>
      </c>
      <c r="R18" s="819">
        <f t="shared" si="12"/>
        <v>75.79572782571792</v>
      </c>
      <c r="S18" s="817">
        <f>S21+S24</f>
        <v>7531</v>
      </c>
      <c r="T18" s="818">
        <f>T21+T24</f>
        <v>5613</v>
      </c>
      <c r="U18" s="837">
        <f t="shared" si="13"/>
        <v>74.53193467003054</v>
      </c>
      <c r="V18" s="818">
        <f>V21+V24</f>
        <v>7948</v>
      </c>
      <c r="W18" s="818">
        <f>W21+W24</f>
        <v>5704</v>
      </c>
      <c r="X18" s="837">
        <f t="shared" si="14"/>
        <v>71.76648213387016</v>
      </c>
      <c r="Y18" s="818">
        <f>Y21+Y24</f>
        <v>8024</v>
      </c>
      <c r="Z18" s="818">
        <f>Z21+Z24</f>
        <v>5738</v>
      </c>
      <c r="AA18" s="837">
        <f t="shared" si="15"/>
        <v>71.51046859421734</v>
      </c>
      <c r="AB18" s="807"/>
    </row>
    <row r="19" spans="1:28" ht="15.75" customHeight="1">
      <c r="A19" s="838"/>
      <c r="B19" s="839" t="s">
        <v>102</v>
      </c>
      <c r="C19" s="826" t="s">
        <v>44</v>
      </c>
      <c r="D19" s="847">
        <f t="shared" si="8"/>
        <v>7330</v>
      </c>
      <c r="E19" s="855">
        <f t="shared" si="8"/>
        <v>5853</v>
      </c>
      <c r="F19" s="829">
        <f t="shared" si="9"/>
        <v>79.84993178717599</v>
      </c>
      <c r="G19" s="847">
        <f t="shared" si="10"/>
        <v>7521</v>
      </c>
      <c r="H19" s="855">
        <f t="shared" si="10"/>
        <v>5814</v>
      </c>
      <c r="I19" s="829">
        <f t="shared" si="2"/>
        <v>77.30355005983247</v>
      </c>
      <c r="J19" s="847">
        <v>7507</v>
      </c>
      <c r="K19" s="855">
        <v>5887</v>
      </c>
      <c r="L19" s="829">
        <f t="shared" si="0"/>
        <v>78.42014120154522</v>
      </c>
      <c r="M19" s="856">
        <f>M22+M25</f>
        <v>7656</v>
      </c>
      <c r="N19" s="855">
        <f>N22+N25</f>
        <v>6131</v>
      </c>
      <c r="O19" s="829">
        <f t="shared" si="11"/>
        <v>80.08098223615465</v>
      </c>
      <c r="P19" s="856">
        <f>P22+P25</f>
        <v>7882</v>
      </c>
      <c r="Q19" s="855">
        <f>Q22+Q25</f>
        <v>6456</v>
      </c>
      <c r="R19" s="829">
        <f t="shared" si="12"/>
        <v>81.9081451408272</v>
      </c>
      <c r="S19" s="817">
        <f>S22+S25</f>
        <v>8340</v>
      </c>
      <c r="T19" s="818">
        <f>T22+T25</f>
        <v>6952</v>
      </c>
      <c r="U19" s="841">
        <f t="shared" si="13"/>
        <v>83.35731414868106</v>
      </c>
      <c r="V19" s="818">
        <f>V22+V25</f>
        <v>8813</v>
      </c>
      <c r="W19" s="818">
        <f>W22+W25</f>
        <v>7162</v>
      </c>
      <c r="X19" s="841">
        <f t="shared" si="14"/>
        <v>81.26631113128333</v>
      </c>
      <c r="Y19" s="818">
        <f>Y22+Y25</f>
        <v>9203</v>
      </c>
      <c r="Z19" s="818">
        <f>Z22+Z25</f>
        <v>7473</v>
      </c>
      <c r="AA19" s="841">
        <f t="shared" si="15"/>
        <v>81.2017820275997</v>
      </c>
      <c r="AB19" s="807"/>
    </row>
    <row r="20" spans="1:28" ht="15.75" customHeight="1">
      <c r="A20" s="831"/>
      <c r="B20" s="832"/>
      <c r="C20" s="816" t="s">
        <v>5</v>
      </c>
      <c r="D20" s="817">
        <f>SUM(D21:D22)</f>
        <v>4215</v>
      </c>
      <c r="E20" s="823">
        <f>SUM(E21:E22)</f>
        <v>3786</v>
      </c>
      <c r="F20" s="819">
        <f t="shared" si="9"/>
        <v>89.8220640569395</v>
      </c>
      <c r="G20" s="817">
        <v>5631</v>
      </c>
      <c r="H20" s="823">
        <v>4666</v>
      </c>
      <c r="I20" s="819">
        <f t="shared" si="2"/>
        <v>82.86272420529214</v>
      </c>
      <c r="J20" s="817">
        <v>5683</v>
      </c>
      <c r="K20" s="823">
        <v>4691</v>
      </c>
      <c r="L20" s="819">
        <f t="shared" si="0"/>
        <v>82.54443075840226</v>
      </c>
      <c r="M20" s="833">
        <f>SUM(M21:M22)</f>
        <v>4865</v>
      </c>
      <c r="N20" s="823">
        <f>SUM(N21:N22)</f>
        <v>4259</v>
      </c>
      <c r="O20" s="819">
        <f t="shared" si="11"/>
        <v>87.5436793422405</v>
      </c>
      <c r="P20" s="833">
        <f>SUM(P21:P22)</f>
        <v>4737</v>
      </c>
      <c r="Q20" s="823">
        <f>SUM(Q21:Q22)</f>
        <v>4258</v>
      </c>
      <c r="R20" s="819">
        <f t="shared" si="12"/>
        <v>89.88811484061642</v>
      </c>
      <c r="S20" s="834">
        <f>SUM(S21:S22)</f>
        <v>5111</v>
      </c>
      <c r="T20" s="835">
        <f>SUM(T21:T22)</f>
        <v>4550</v>
      </c>
      <c r="U20" s="836">
        <f t="shared" si="13"/>
        <v>89.02367442770495</v>
      </c>
      <c r="V20" s="834">
        <f>SUM(V21:V22)</f>
        <v>6804</v>
      </c>
      <c r="W20" s="835">
        <f>SUM(W21:W22)</f>
        <v>5680</v>
      </c>
      <c r="X20" s="836">
        <f t="shared" si="14"/>
        <v>83.48030570252793</v>
      </c>
      <c r="Y20" s="834">
        <f>SUM(Y21:Y22)</f>
        <v>8280</v>
      </c>
      <c r="Z20" s="835">
        <f>SUM(Z21:Z22)</f>
        <v>6871</v>
      </c>
      <c r="AA20" s="836">
        <f t="shared" si="15"/>
        <v>82.9830917874396</v>
      </c>
      <c r="AB20" s="807"/>
    </row>
    <row r="21" spans="1:28" ht="15.75" customHeight="1">
      <c r="A21" s="1519" t="s">
        <v>206</v>
      </c>
      <c r="B21" s="1520"/>
      <c r="C21" s="816" t="s">
        <v>43</v>
      </c>
      <c r="D21" s="817">
        <v>2279</v>
      </c>
      <c r="E21" s="823">
        <v>1986</v>
      </c>
      <c r="F21" s="819">
        <f t="shared" si="9"/>
        <v>87.1434839842036</v>
      </c>
      <c r="G21" s="817">
        <v>3013</v>
      </c>
      <c r="H21" s="823">
        <v>2373</v>
      </c>
      <c r="I21" s="819">
        <f t="shared" si="2"/>
        <v>78.75871224692997</v>
      </c>
      <c r="J21" s="817">
        <v>3049</v>
      </c>
      <c r="K21" s="823">
        <v>2343</v>
      </c>
      <c r="L21" s="819">
        <f t="shared" si="0"/>
        <v>76.84486716956378</v>
      </c>
      <c r="M21" s="833">
        <v>2504</v>
      </c>
      <c r="N21" s="823">
        <v>2092</v>
      </c>
      <c r="O21" s="819">
        <f t="shared" si="11"/>
        <v>83.54632587859425</v>
      </c>
      <c r="P21" s="833">
        <v>2381</v>
      </c>
      <c r="Q21" s="823">
        <v>2065</v>
      </c>
      <c r="R21" s="819">
        <f t="shared" si="12"/>
        <v>86.72826543469131</v>
      </c>
      <c r="S21" s="817">
        <v>2596</v>
      </c>
      <c r="T21" s="818">
        <v>2172</v>
      </c>
      <c r="U21" s="837">
        <f t="shared" si="13"/>
        <v>83.66718027734977</v>
      </c>
      <c r="V21" s="817">
        <v>3336</v>
      </c>
      <c r="W21" s="818">
        <v>2597</v>
      </c>
      <c r="X21" s="837">
        <f t="shared" si="14"/>
        <v>77.84772182254197</v>
      </c>
      <c r="Y21" s="817">
        <v>3919</v>
      </c>
      <c r="Z21" s="818">
        <v>3042</v>
      </c>
      <c r="AA21" s="837">
        <f t="shared" si="15"/>
        <v>77.6218423067109</v>
      </c>
      <c r="AB21" s="807"/>
    </row>
    <row r="22" spans="1:28" ht="15.75" customHeight="1">
      <c r="A22" s="838"/>
      <c r="B22" s="839" t="s">
        <v>102</v>
      </c>
      <c r="C22" s="826" t="s">
        <v>44</v>
      </c>
      <c r="D22" s="827">
        <v>1936</v>
      </c>
      <c r="E22" s="828">
        <v>1800</v>
      </c>
      <c r="F22" s="829">
        <f t="shared" si="9"/>
        <v>92.97520661157024</v>
      </c>
      <c r="G22" s="827">
        <v>2618</v>
      </c>
      <c r="H22" s="828">
        <v>2293</v>
      </c>
      <c r="I22" s="829">
        <f t="shared" si="2"/>
        <v>87.5859434682964</v>
      </c>
      <c r="J22" s="827">
        <v>2634</v>
      </c>
      <c r="K22" s="828">
        <v>2348</v>
      </c>
      <c r="L22" s="829">
        <f t="shared" si="0"/>
        <v>89.14198936977981</v>
      </c>
      <c r="M22" s="830">
        <v>2361</v>
      </c>
      <c r="N22" s="828">
        <v>2167</v>
      </c>
      <c r="O22" s="829">
        <f t="shared" si="11"/>
        <v>91.78314273612877</v>
      </c>
      <c r="P22" s="830">
        <v>2356</v>
      </c>
      <c r="Q22" s="828">
        <v>2193</v>
      </c>
      <c r="R22" s="829">
        <f t="shared" si="12"/>
        <v>93.08149405772495</v>
      </c>
      <c r="S22" s="827">
        <v>2515</v>
      </c>
      <c r="T22" s="840">
        <v>2378</v>
      </c>
      <c r="U22" s="841">
        <f t="shared" si="13"/>
        <v>94.55268389662028</v>
      </c>
      <c r="V22" s="827">
        <v>3468</v>
      </c>
      <c r="W22" s="840">
        <v>3083</v>
      </c>
      <c r="X22" s="841">
        <f t="shared" si="14"/>
        <v>88.89850057670127</v>
      </c>
      <c r="Y22" s="827">
        <v>4361</v>
      </c>
      <c r="Z22" s="840">
        <v>3829</v>
      </c>
      <c r="AA22" s="841">
        <f t="shared" si="15"/>
        <v>87.80096308186197</v>
      </c>
      <c r="AB22" s="807"/>
    </row>
    <row r="23" spans="1:28" ht="15.75" customHeight="1">
      <c r="A23" s="842"/>
      <c r="B23" s="843"/>
      <c r="C23" s="816" t="s">
        <v>5</v>
      </c>
      <c r="D23" s="844">
        <f>D17-D20</f>
        <v>9392</v>
      </c>
      <c r="E23" s="845">
        <f>E17-E20</f>
        <v>6783</v>
      </c>
      <c r="F23" s="819">
        <f t="shared" si="9"/>
        <v>72.2210391822828</v>
      </c>
      <c r="G23" s="844">
        <f>G17-G20</f>
        <v>8366</v>
      </c>
      <c r="H23" s="845">
        <f>H17-H20</f>
        <v>5860</v>
      </c>
      <c r="I23" s="819">
        <f t="shared" si="2"/>
        <v>70.04542194597178</v>
      </c>
      <c r="J23" s="844">
        <v>8372</v>
      </c>
      <c r="K23" s="845">
        <f>K17-K20</f>
        <v>6008</v>
      </c>
      <c r="L23" s="819">
        <f t="shared" si="0"/>
        <v>71.76301958910655</v>
      </c>
      <c r="M23" s="857">
        <f>SUM(M24:M25)</f>
        <v>9432</v>
      </c>
      <c r="N23" s="858">
        <f>SUM(N24:N25)</f>
        <v>6910</v>
      </c>
      <c r="O23" s="819">
        <f t="shared" si="11"/>
        <v>73.26123833757421</v>
      </c>
      <c r="P23" s="857">
        <f>SUM(P24:P25)</f>
        <v>10214</v>
      </c>
      <c r="Q23" s="858">
        <f>SUM(Q24:Q25)</f>
        <v>7556</v>
      </c>
      <c r="R23" s="819">
        <f t="shared" si="12"/>
        <v>73.97689445858624</v>
      </c>
      <c r="S23" s="817">
        <f>SUM(S24:S25)</f>
        <v>10760</v>
      </c>
      <c r="T23" s="818">
        <f>SUM(T24:T25)</f>
        <v>8015</v>
      </c>
      <c r="U23" s="836">
        <f t="shared" si="13"/>
        <v>74.48884758364312</v>
      </c>
      <c r="V23" s="818">
        <f>SUM(V24:V25)</f>
        <v>9957</v>
      </c>
      <c r="W23" s="818">
        <f>SUM(W24:W25)</f>
        <v>7186</v>
      </c>
      <c r="X23" s="836">
        <f t="shared" si="14"/>
        <v>72.17033242944662</v>
      </c>
      <c r="Y23" s="818">
        <f>SUM(Y24:Y25)</f>
        <v>8947</v>
      </c>
      <c r="Z23" s="818">
        <f>SUM(Z24:Z25)</f>
        <v>6340</v>
      </c>
      <c r="AA23" s="836">
        <f t="shared" si="15"/>
        <v>70.86174136582095</v>
      </c>
      <c r="AB23" s="807"/>
    </row>
    <row r="24" spans="1:28" ht="15.75" customHeight="1">
      <c r="A24" s="821" t="s">
        <v>207</v>
      </c>
      <c r="B24" s="822"/>
      <c r="C24" s="816" t="s">
        <v>43</v>
      </c>
      <c r="D24" s="846">
        <f>D18-D21</f>
        <v>3998</v>
      </c>
      <c r="E24" s="845">
        <f>E18-E21</f>
        <v>2730</v>
      </c>
      <c r="F24" s="819">
        <f t="shared" si="9"/>
        <v>68.28414207103552</v>
      </c>
      <c r="G24" s="846">
        <f>G18-G21</f>
        <v>3463</v>
      </c>
      <c r="H24" s="845">
        <f>H18-H21</f>
        <v>2339</v>
      </c>
      <c r="I24" s="819">
        <f t="shared" si="2"/>
        <v>67.54259312734622</v>
      </c>
      <c r="J24" s="846">
        <v>3499</v>
      </c>
      <c r="K24" s="845">
        <f>K18-K21</f>
        <v>2469</v>
      </c>
      <c r="L24" s="819">
        <f t="shared" si="0"/>
        <v>70.56301800514433</v>
      </c>
      <c r="M24" s="851">
        <v>4137</v>
      </c>
      <c r="N24" s="852">
        <v>2946</v>
      </c>
      <c r="O24" s="819">
        <f t="shared" si="11"/>
        <v>71.21102248005802</v>
      </c>
      <c r="P24" s="851">
        <f>4935-P28</f>
        <v>4688</v>
      </c>
      <c r="Q24" s="852">
        <f>3438-Q28</f>
        <v>3293</v>
      </c>
      <c r="R24" s="819">
        <f t="shared" si="12"/>
        <v>70.24317406143345</v>
      </c>
      <c r="S24" s="817">
        <v>4935</v>
      </c>
      <c r="T24" s="818">
        <v>3441</v>
      </c>
      <c r="U24" s="837">
        <f t="shared" si="13"/>
        <v>69.72644376899696</v>
      </c>
      <c r="V24" s="818">
        <v>4612</v>
      </c>
      <c r="W24" s="818">
        <v>3107</v>
      </c>
      <c r="X24" s="837">
        <f t="shared" si="14"/>
        <v>67.36773633998266</v>
      </c>
      <c r="Y24" s="818">
        <v>4105</v>
      </c>
      <c r="Z24" s="818">
        <v>2696</v>
      </c>
      <c r="AA24" s="837">
        <f t="shared" si="15"/>
        <v>65.67600487210719</v>
      </c>
      <c r="AB24" s="807"/>
    </row>
    <row r="25" spans="1:28" ht="15.75" customHeight="1">
      <c r="A25" s="824" t="s">
        <v>102</v>
      </c>
      <c r="B25" s="825"/>
      <c r="C25" s="826" t="s">
        <v>44</v>
      </c>
      <c r="D25" s="847">
        <f>D23-D24</f>
        <v>5394</v>
      </c>
      <c r="E25" s="848">
        <f>E23-E24</f>
        <v>4053</v>
      </c>
      <c r="F25" s="829">
        <f t="shared" si="9"/>
        <v>75.13904338153505</v>
      </c>
      <c r="G25" s="847">
        <f>G23-G24</f>
        <v>4903</v>
      </c>
      <c r="H25" s="848">
        <f>H23-H24</f>
        <v>3521</v>
      </c>
      <c r="I25" s="829">
        <f t="shared" si="2"/>
        <v>71.81317560677137</v>
      </c>
      <c r="J25" s="847">
        <v>4873</v>
      </c>
      <c r="K25" s="848">
        <f>K23-K24</f>
        <v>3539</v>
      </c>
      <c r="L25" s="829">
        <f t="shared" si="0"/>
        <v>72.6246665298584</v>
      </c>
      <c r="M25" s="856">
        <v>5295</v>
      </c>
      <c r="N25" s="855">
        <v>3964</v>
      </c>
      <c r="O25" s="829">
        <f t="shared" si="11"/>
        <v>74.86307837582625</v>
      </c>
      <c r="P25" s="856">
        <f>5829-P29</f>
        <v>5526</v>
      </c>
      <c r="Q25" s="855">
        <f>4453-Q29</f>
        <v>4263</v>
      </c>
      <c r="R25" s="829">
        <f t="shared" si="12"/>
        <v>77.1444082519001</v>
      </c>
      <c r="S25" s="827">
        <v>5825</v>
      </c>
      <c r="T25" s="840">
        <v>4574</v>
      </c>
      <c r="U25" s="841">
        <f t="shared" si="13"/>
        <v>78.52360515021459</v>
      </c>
      <c r="V25" s="818">
        <v>5345</v>
      </c>
      <c r="W25" s="818">
        <v>4079</v>
      </c>
      <c r="X25" s="841">
        <f t="shared" si="14"/>
        <v>76.31431244153416</v>
      </c>
      <c r="Y25" s="818">
        <v>4842</v>
      </c>
      <c r="Z25" s="818">
        <v>3644</v>
      </c>
      <c r="AA25" s="841">
        <f t="shared" si="15"/>
        <v>75.25815778603882</v>
      </c>
      <c r="AB25" s="807"/>
    </row>
    <row r="26" spans="1:28" ht="22.5" customHeight="1">
      <c r="A26" s="1504" t="s">
        <v>209</v>
      </c>
      <c r="B26" s="1505"/>
      <c r="C26" s="1505"/>
      <c r="D26" s="1505"/>
      <c r="E26" s="1505"/>
      <c r="F26" s="1505"/>
      <c r="G26" s="1505"/>
      <c r="H26" s="1505"/>
      <c r="I26" s="1505"/>
      <c r="J26" s="1505"/>
      <c r="K26" s="1505"/>
      <c r="L26" s="1505"/>
      <c r="M26" s="1505"/>
      <c r="N26" s="1505"/>
      <c r="O26" s="1505"/>
      <c r="P26" s="1505"/>
      <c r="Q26" s="1505"/>
      <c r="R26" s="1505"/>
      <c r="S26" s="1505"/>
      <c r="T26" s="1505"/>
      <c r="U26" s="1505"/>
      <c r="V26" s="1505"/>
      <c r="W26" s="1505"/>
      <c r="X26" s="1505"/>
      <c r="Y26" s="1505"/>
      <c r="Z26" s="1505"/>
      <c r="AA26" s="1506"/>
      <c r="AB26" s="807"/>
    </row>
    <row r="27" spans="1:28" ht="15.75" customHeight="1">
      <c r="A27" s="814"/>
      <c r="B27" s="815"/>
      <c r="C27" s="816" t="s">
        <v>5</v>
      </c>
      <c r="D27" s="859">
        <f>SUM(D28,D29)</f>
        <v>641</v>
      </c>
      <c r="E27" s="860">
        <f>SUM(E28,E29)</f>
        <v>349</v>
      </c>
      <c r="F27" s="819">
        <f>E27/D27*100</f>
        <v>54.44617784711389</v>
      </c>
      <c r="G27" s="859">
        <v>530</v>
      </c>
      <c r="H27" s="860">
        <v>317</v>
      </c>
      <c r="I27" s="819">
        <f>H27/G27*100</f>
        <v>59.81132075471698</v>
      </c>
      <c r="J27" s="859">
        <v>524</v>
      </c>
      <c r="K27" s="860">
        <v>308</v>
      </c>
      <c r="L27" s="819">
        <f>K27/J27*100</f>
        <v>58.778625954198475</v>
      </c>
      <c r="M27" s="861">
        <f>SUM(M28:M29)</f>
        <v>512</v>
      </c>
      <c r="N27" s="862">
        <f>SUM(N28:N29)</f>
        <v>314</v>
      </c>
      <c r="O27" s="819">
        <f>N27/M27*100</f>
        <v>61.328125</v>
      </c>
      <c r="P27" s="861">
        <f>SUM(P28:P29)</f>
        <v>550</v>
      </c>
      <c r="Q27" s="862">
        <f>SUM(Q28:Q29)</f>
        <v>335</v>
      </c>
      <c r="R27" s="819">
        <f>Q27/P27*100</f>
        <v>60.909090909090914</v>
      </c>
      <c r="S27" s="834">
        <f>SUM(S28:S29)</f>
        <v>577</v>
      </c>
      <c r="T27" s="835">
        <f>SUM(T28:T29)</f>
        <v>406</v>
      </c>
      <c r="U27" s="836">
        <f>T27/S27*100</f>
        <v>70.36395147313691</v>
      </c>
      <c r="V27" s="818">
        <f>SUM(V28:V29)</f>
        <v>582</v>
      </c>
      <c r="W27" s="818">
        <f>SUM(W28:W29)</f>
        <v>432</v>
      </c>
      <c r="X27" s="836">
        <f>W27/V27*100</f>
        <v>74.22680412371135</v>
      </c>
      <c r="Y27" s="818">
        <f>SUM(Y28:Y29)</f>
        <v>567</v>
      </c>
      <c r="Z27" s="818">
        <f>SUM(Z28:Z29)</f>
        <v>406</v>
      </c>
      <c r="AA27" s="836">
        <f>Z27/Y27*100</f>
        <v>71.60493827160494</v>
      </c>
      <c r="AB27" s="807"/>
    </row>
    <row r="28" spans="1:28" ht="15.75" customHeight="1">
      <c r="A28" s="821" t="s">
        <v>205</v>
      </c>
      <c r="B28" s="822"/>
      <c r="C28" s="816" t="s">
        <v>43</v>
      </c>
      <c r="D28" s="859">
        <v>287</v>
      </c>
      <c r="E28" s="860">
        <v>168</v>
      </c>
      <c r="F28" s="819">
        <f>E28/D28*100</f>
        <v>58.536585365853654</v>
      </c>
      <c r="G28" s="859">
        <v>221</v>
      </c>
      <c r="H28" s="860">
        <v>132</v>
      </c>
      <c r="I28" s="819">
        <f>H28/G28*100</f>
        <v>59.72850678733032</v>
      </c>
      <c r="J28" s="859">
        <v>217</v>
      </c>
      <c r="K28" s="860">
        <v>124</v>
      </c>
      <c r="L28" s="819">
        <f>K28/J28*100</f>
        <v>57.14285714285714</v>
      </c>
      <c r="M28" s="861">
        <v>235</v>
      </c>
      <c r="N28" s="862">
        <v>146</v>
      </c>
      <c r="O28" s="819">
        <f>N28/M28*100</f>
        <v>62.12765957446808</v>
      </c>
      <c r="P28" s="861">
        <v>247</v>
      </c>
      <c r="Q28" s="862">
        <v>145</v>
      </c>
      <c r="R28" s="819">
        <f>Q28/P28*100</f>
        <v>58.70445344129555</v>
      </c>
      <c r="S28" s="817">
        <v>259</v>
      </c>
      <c r="T28" s="818">
        <v>190</v>
      </c>
      <c r="U28" s="837">
        <f>T28/S28*100</f>
        <v>73.35907335907336</v>
      </c>
      <c r="V28" s="818">
        <v>265</v>
      </c>
      <c r="W28" s="818">
        <v>185</v>
      </c>
      <c r="X28" s="837">
        <f>W28/V28*100</f>
        <v>69.81132075471697</v>
      </c>
      <c r="Y28" s="818">
        <v>238</v>
      </c>
      <c r="Z28" s="818">
        <v>170</v>
      </c>
      <c r="AA28" s="837">
        <f>Z28/Y28*100</f>
        <v>71.42857142857143</v>
      </c>
      <c r="AB28" s="807"/>
    </row>
    <row r="29" spans="1:28" ht="15.75" customHeight="1" thickBot="1">
      <c r="A29" s="863" t="s">
        <v>102</v>
      </c>
      <c r="B29" s="864"/>
      <c r="C29" s="865" t="s">
        <v>44</v>
      </c>
      <c r="D29" s="866">
        <v>354</v>
      </c>
      <c r="E29" s="867">
        <v>181</v>
      </c>
      <c r="F29" s="868">
        <f>E29/D29*100</f>
        <v>51.12994350282486</v>
      </c>
      <c r="G29" s="866">
        <v>309</v>
      </c>
      <c r="H29" s="867">
        <v>185</v>
      </c>
      <c r="I29" s="868">
        <f>H29/G29*100</f>
        <v>59.8705501618123</v>
      </c>
      <c r="J29" s="866">
        <v>307</v>
      </c>
      <c r="K29" s="867">
        <v>184</v>
      </c>
      <c r="L29" s="868">
        <f>K29/J29*100</f>
        <v>59.934853420195445</v>
      </c>
      <c r="M29" s="869">
        <v>277</v>
      </c>
      <c r="N29" s="870">
        <v>168</v>
      </c>
      <c r="O29" s="868">
        <f>N29/M29*100</f>
        <v>60.64981949458483</v>
      </c>
      <c r="P29" s="869">
        <v>303</v>
      </c>
      <c r="Q29" s="870">
        <v>190</v>
      </c>
      <c r="R29" s="868">
        <f>Q29/P29*100</f>
        <v>62.70627062706271</v>
      </c>
      <c r="S29" s="871">
        <v>318</v>
      </c>
      <c r="T29" s="872">
        <v>216</v>
      </c>
      <c r="U29" s="873">
        <f>T29/S29*100</f>
        <v>67.9245283018868</v>
      </c>
      <c r="V29" s="871">
        <v>317</v>
      </c>
      <c r="W29" s="872">
        <v>247</v>
      </c>
      <c r="X29" s="873">
        <f>W29/V29*100</f>
        <v>77.91798107255521</v>
      </c>
      <c r="Y29" s="871">
        <v>329</v>
      </c>
      <c r="Z29" s="872">
        <v>236</v>
      </c>
      <c r="AA29" s="873">
        <f>Z29/Y29*100</f>
        <v>71.73252279635258</v>
      </c>
      <c r="AB29" s="807"/>
    </row>
    <row r="30" spans="1:28" ht="15.75">
      <c r="A30" s="874" t="s">
        <v>208</v>
      </c>
      <c r="B30" s="874"/>
      <c r="C30" s="874"/>
      <c r="D30" s="874"/>
      <c r="E30" s="874"/>
      <c r="F30" s="875"/>
      <c r="G30" s="876"/>
      <c r="H30" s="876"/>
      <c r="I30" s="876"/>
      <c r="K30" s="876"/>
      <c r="L30" s="876"/>
      <c r="M30" s="876"/>
      <c r="N30" s="876"/>
      <c r="O30" s="876"/>
      <c r="P30" s="876"/>
      <c r="Q30" s="876"/>
      <c r="R30" s="876"/>
      <c r="U30" s="877" t="s">
        <v>210</v>
      </c>
      <c r="V30" s="874"/>
      <c r="W30" s="874"/>
      <c r="X30" s="874"/>
      <c r="Y30" s="874"/>
      <c r="Z30" s="874"/>
      <c r="AA30" s="874"/>
      <c r="AB30" s="874"/>
    </row>
    <row r="31" spans="1:28" ht="12.75">
      <c r="A31" s="874"/>
      <c r="B31" s="874"/>
      <c r="C31" s="874"/>
      <c r="D31" s="874"/>
      <c r="E31" s="874"/>
      <c r="F31" s="874"/>
      <c r="G31" s="874"/>
      <c r="H31" s="874"/>
      <c r="I31" s="874"/>
      <c r="J31" s="874"/>
      <c r="K31" s="874"/>
      <c r="L31" s="874"/>
      <c r="M31" s="874"/>
      <c r="N31" s="874"/>
      <c r="O31" s="874"/>
      <c r="P31" s="874"/>
      <c r="Q31" s="874"/>
      <c r="R31" s="874"/>
      <c r="S31" s="874"/>
      <c r="T31" s="874"/>
      <c r="U31" s="874"/>
      <c r="V31" s="874"/>
      <c r="W31" s="874"/>
      <c r="X31" s="874"/>
      <c r="Y31" s="874"/>
      <c r="Z31" s="874"/>
      <c r="AA31" s="874"/>
      <c r="AB31" s="142"/>
    </row>
    <row r="32" spans="1:28" ht="12.75">
      <c r="A32" s="874"/>
      <c r="C32" s="874"/>
      <c r="D32" s="874"/>
      <c r="E32" s="874"/>
      <c r="F32" s="874"/>
      <c r="G32" s="874"/>
      <c r="H32" s="874"/>
      <c r="I32" s="874"/>
      <c r="J32" s="874"/>
      <c r="K32" s="874"/>
      <c r="L32" s="874"/>
      <c r="M32" s="874"/>
      <c r="N32" s="874"/>
      <c r="O32" s="874"/>
      <c r="P32" s="874"/>
      <c r="Q32" s="874"/>
      <c r="R32" s="874"/>
      <c r="S32" s="874"/>
      <c r="T32" s="874"/>
      <c r="U32" s="874"/>
      <c r="V32" s="874"/>
      <c r="W32" s="874"/>
      <c r="X32" s="874"/>
      <c r="Y32" s="874"/>
      <c r="Z32" s="874"/>
      <c r="AA32" s="874"/>
      <c r="AB32" s="142"/>
    </row>
    <row r="33" spans="1:28" ht="16.5" thickBot="1">
      <c r="A33" s="874"/>
      <c r="B33" s="878"/>
      <c r="C33" s="879"/>
      <c r="D33" s="880">
        <v>2515</v>
      </c>
      <c r="E33" s="881">
        <v>5111</v>
      </c>
      <c r="F33" s="882">
        <v>2172</v>
      </c>
      <c r="G33" s="882">
        <v>2378</v>
      </c>
      <c r="H33" s="881">
        <v>4550</v>
      </c>
      <c r="I33" s="883">
        <v>83.66718027734977</v>
      </c>
      <c r="J33" s="883">
        <v>94.55268389662028</v>
      </c>
      <c r="K33" s="883">
        <v>89.02367442770495</v>
      </c>
      <c r="L33" s="877"/>
      <c r="M33" s="877"/>
      <c r="N33" s="877"/>
      <c r="O33" s="877"/>
      <c r="P33" s="874"/>
      <c r="Q33" s="874"/>
      <c r="R33" s="874"/>
      <c r="S33" s="874"/>
      <c r="T33" s="874"/>
      <c r="U33" s="874"/>
      <c r="V33" s="874"/>
      <c r="W33" s="874"/>
      <c r="X33" s="874"/>
      <c r="Y33" s="874"/>
      <c r="Z33" s="874"/>
      <c r="AA33" s="874"/>
      <c r="AB33" s="142"/>
    </row>
    <row r="34" spans="1:28" ht="12.75">
      <c r="A34" s="884"/>
      <c r="B34" s="884"/>
      <c r="C34" s="884"/>
      <c r="D34" s="884"/>
      <c r="E34" s="884"/>
      <c r="F34" s="884"/>
      <c r="G34" s="884"/>
      <c r="H34" s="884"/>
      <c r="I34" s="884"/>
      <c r="J34" s="884"/>
      <c r="K34" s="884"/>
      <c r="L34" s="884"/>
      <c r="M34" s="884"/>
      <c r="N34" s="884"/>
      <c r="O34" s="884"/>
      <c r="P34" s="884"/>
      <c r="Q34" s="884"/>
      <c r="R34" s="884"/>
      <c r="S34" s="884"/>
      <c r="T34" s="884"/>
      <c r="U34" s="884"/>
      <c r="V34" s="884"/>
      <c r="W34" s="884"/>
      <c r="X34" s="884"/>
      <c r="Y34" s="884"/>
      <c r="Z34" s="884"/>
      <c r="AA34" s="884"/>
      <c r="AB34" s="884"/>
    </row>
    <row r="35" spans="1:28" ht="12.75">
      <c r="A35" s="884"/>
      <c r="B35" s="884"/>
      <c r="C35" s="884"/>
      <c r="D35" s="884"/>
      <c r="E35" s="884"/>
      <c r="F35" s="884"/>
      <c r="G35" s="884"/>
      <c r="H35" s="884"/>
      <c r="I35" s="884"/>
      <c r="J35" s="884"/>
      <c r="K35" s="884"/>
      <c r="L35" s="884"/>
      <c r="M35" s="884"/>
      <c r="N35" s="884"/>
      <c r="O35" s="884"/>
      <c r="P35" s="884"/>
      <c r="Q35" s="884"/>
      <c r="R35" s="884"/>
      <c r="S35" s="884"/>
      <c r="T35" s="884"/>
      <c r="U35" s="884"/>
      <c r="V35" s="884"/>
      <c r="W35" s="884"/>
      <c r="X35" s="884"/>
      <c r="Y35" s="884"/>
      <c r="Z35" s="884"/>
      <c r="AA35" s="884"/>
      <c r="AB35" s="884"/>
    </row>
    <row r="36" spans="1:28" ht="12.75">
      <c r="A36" s="884"/>
      <c r="B36" s="884"/>
      <c r="C36" s="884"/>
      <c r="D36" s="884"/>
      <c r="E36" s="884"/>
      <c r="F36" s="884"/>
      <c r="G36" s="884"/>
      <c r="H36" s="884"/>
      <c r="I36" s="884"/>
      <c r="J36" s="884"/>
      <c r="K36" s="884"/>
      <c r="L36" s="884"/>
      <c r="M36" s="884"/>
      <c r="N36" s="884"/>
      <c r="O36" s="884"/>
      <c r="P36" s="884"/>
      <c r="Q36" s="884"/>
      <c r="R36" s="884"/>
      <c r="S36" s="884"/>
      <c r="T36" s="884"/>
      <c r="U36" s="884"/>
      <c r="V36" s="884"/>
      <c r="W36" s="884"/>
      <c r="X36" s="884"/>
      <c r="Y36" s="884"/>
      <c r="Z36" s="884"/>
      <c r="AA36" s="884"/>
      <c r="AB36" s="884"/>
    </row>
    <row r="37" spans="1:28" ht="12.75">
      <c r="A37" s="884"/>
      <c r="B37" s="884"/>
      <c r="C37" s="884"/>
      <c r="D37" s="884"/>
      <c r="E37" s="884"/>
      <c r="F37" s="884"/>
      <c r="G37" s="884"/>
      <c r="H37" s="884"/>
      <c r="I37" s="884"/>
      <c r="J37" s="884"/>
      <c r="K37" s="884"/>
      <c r="L37" s="884"/>
      <c r="M37" s="884"/>
      <c r="N37" s="884"/>
      <c r="O37" s="884"/>
      <c r="P37" s="884"/>
      <c r="Q37" s="884"/>
      <c r="R37" s="884"/>
      <c r="S37" s="884"/>
      <c r="T37" s="884"/>
      <c r="U37" s="884"/>
      <c r="V37" s="884"/>
      <c r="W37" s="884"/>
      <c r="X37" s="884"/>
      <c r="Y37" s="884"/>
      <c r="Z37" s="884"/>
      <c r="AA37" s="884"/>
      <c r="AB37" s="884"/>
    </row>
    <row r="38" spans="1:28" ht="12.75">
      <c r="A38" s="884"/>
      <c r="B38" s="884"/>
      <c r="C38" s="884"/>
      <c r="D38" s="884"/>
      <c r="E38" s="884"/>
      <c r="F38" s="884"/>
      <c r="G38" s="884"/>
      <c r="H38" s="884"/>
      <c r="I38" s="884"/>
      <c r="J38" s="884"/>
      <c r="K38" s="884"/>
      <c r="L38" s="884"/>
      <c r="M38" s="884"/>
      <c r="N38" s="884"/>
      <c r="O38" s="884"/>
      <c r="P38" s="884"/>
      <c r="Q38" s="884"/>
      <c r="R38" s="884"/>
      <c r="S38" s="884"/>
      <c r="T38" s="884"/>
      <c r="U38" s="884"/>
      <c r="V38" s="884"/>
      <c r="W38" s="884"/>
      <c r="X38" s="884"/>
      <c r="Y38" s="884"/>
      <c r="Z38" s="884"/>
      <c r="AA38" s="884"/>
      <c r="AB38" s="884"/>
    </row>
    <row r="39" spans="1:28" ht="12.75">
      <c r="A39" s="884"/>
      <c r="B39" s="884"/>
      <c r="C39" s="884"/>
      <c r="D39" s="884"/>
      <c r="E39" s="884"/>
      <c r="F39" s="884"/>
      <c r="G39" s="884"/>
      <c r="H39" s="884"/>
      <c r="I39" s="884"/>
      <c r="J39" s="884"/>
      <c r="K39" s="884"/>
      <c r="L39" s="884"/>
      <c r="M39" s="884"/>
      <c r="N39" s="884"/>
      <c r="O39" s="884"/>
      <c r="P39" s="884"/>
      <c r="Q39" s="884"/>
      <c r="R39" s="884"/>
      <c r="S39" s="884"/>
      <c r="T39" s="884"/>
      <c r="U39" s="884"/>
      <c r="V39" s="884"/>
      <c r="W39" s="884"/>
      <c r="X39" s="884"/>
      <c r="Y39" s="884"/>
      <c r="Z39" s="884"/>
      <c r="AA39" s="884"/>
      <c r="AB39" s="884"/>
    </row>
    <row r="40" spans="1:28" ht="12.75">
      <c r="A40" s="884"/>
      <c r="B40" s="884"/>
      <c r="C40" s="884"/>
      <c r="D40" s="884"/>
      <c r="E40" s="884"/>
      <c r="F40" s="884"/>
      <c r="G40" s="884"/>
      <c r="H40" s="884"/>
      <c r="I40" s="884"/>
      <c r="J40" s="884"/>
      <c r="K40" s="884"/>
      <c r="L40" s="884"/>
      <c r="M40" s="884"/>
      <c r="N40" s="884"/>
      <c r="O40" s="884"/>
      <c r="P40" s="884"/>
      <c r="Q40" s="884"/>
      <c r="R40" s="884"/>
      <c r="S40" s="884"/>
      <c r="T40" s="884"/>
      <c r="U40" s="884"/>
      <c r="V40" s="884"/>
      <c r="W40" s="884"/>
      <c r="X40" s="884"/>
      <c r="Y40" s="884"/>
      <c r="Z40" s="884"/>
      <c r="AA40" s="884"/>
      <c r="AB40" s="884"/>
    </row>
    <row r="41" spans="1:28" ht="12.75">
      <c r="A41" s="884"/>
      <c r="B41" s="884"/>
      <c r="C41" s="884"/>
      <c r="D41" s="884"/>
      <c r="E41" s="884"/>
      <c r="F41" s="884"/>
      <c r="G41" s="884"/>
      <c r="H41" s="884"/>
      <c r="I41" s="884"/>
      <c r="J41" s="884"/>
      <c r="K41" s="884"/>
      <c r="L41" s="884"/>
      <c r="M41" s="884"/>
      <c r="N41" s="884"/>
      <c r="O41" s="884"/>
      <c r="P41" s="884"/>
      <c r="Q41" s="884"/>
      <c r="R41" s="884"/>
      <c r="S41" s="884"/>
      <c r="T41" s="884"/>
      <c r="U41" s="884"/>
      <c r="V41" s="884"/>
      <c r="W41" s="884"/>
      <c r="X41" s="884"/>
      <c r="Y41" s="884"/>
      <c r="Z41" s="884"/>
      <c r="AA41" s="884"/>
      <c r="AB41" s="884"/>
    </row>
    <row r="42" spans="1:28" ht="12.75">
      <c r="A42" s="884"/>
      <c r="B42" s="884"/>
      <c r="C42" s="884"/>
      <c r="D42" s="884"/>
      <c r="E42" s="884"/>
      <c r="F42" s="884"/>
      <c r="G42" s="884"/>
      <c r="H42" s="884"/>
      <c r="I42" s="884"/>
      <c r="J42" s="884"/>
      <c r="K42" s="884"/>
      <c r="L42" s="884"/>
      <c r="M42" s="884"/>
      <c r="N42" s="884"/>
      <c r="O42" s="884"/>
      <c r="P42" s="884"/>
      <c r="Q42" s="884"/>
      <c r="R42" s="884"/>
      <c r="S42" s="884"/>
      <c r="T42" s="884"/>
      <c r="U42" s="884"/>
      <c r="V42" s="884"/>
      <c r="W42" s="884"/>
      <c r="X42" s="884"/>
      <c r="Y42" s="884"/>
      <c r="Z42" s="884"/>
      <c r="AA42" s="884"/>
      <c r="AB42" s="884"/>
    </row>
    <row r="43" spans="1:28" ht="12.75">
      <c r="A43" s="884"/>
      <c r="B43" s="884"/>
      <c r="C43" s="884"/>
      <c r="D43" s="884"/>
      <c r="E43" s="884"/>
      <c r="F43" s="884"/>
      <c r="G43" s="884"/>
      <c r="H43" s="884"/>
      <c r="I43" s="884"/>
      <c r="J43" s="884"/>
      <c r="K43" s="884"/>
      <c r="L43" s="884"/>
      <c r="M43" s="884"/>
      <c r="N43" s="884"/>
      <c r="O43" s="884"/>
      <c r="P43" s="884"/>
      <c r="Q43" s="884"/>
      <c r="R43" s="884"/>
      <c r="S43" s="884"/>
      <c r="T43" s="884"/>
      <c r="U43" s="884"/>
      <c r="V43" s="884"/>
      <c r="W43" s="884"/>
      <c r="X43" s="884"/>
      <c r="Y43" s="884"/>
      <c r="Z43" s="884"/>
      <c r="AA43" s="884"/>
      <c r="AB43" s="884"/>
    </row>
    <row r="44" spans="1:28" ht="12.75">
      <c r="A44" s="884"/>
      <c r="B44" s="884"/>
      <c r="C44" s="884"/>
      <c r="D44" s="884"/>
      <c r="E44" s="884"/>
      <c r="F44" s="884"/>
      <c r="G44" s="884"/>
      <c r="H44" s="884"/>
      <c r="I44" s="884"/>
      <c r="J44" s="884"/>
      <c r="K44" s="884"/>
      <c r="L44" s="884"/>
      <c r="M44" s="884"/>
      <c r="N44" s="884"/>
      <c r="O44" s="884"/>
      <c r="P44" s="884"/>
      <c r="Q44" s="884"/>
      <c r="R44" s="884"/>
      <c r="S44" s="884"/>
      <c r="T44" s="884"/>
      <c r="U44" s="884"/>
      <c r="V44" s="884"/>
      <c r="W44" s="884"/>
      <c r="X44" s="884"/>
      <c r="Y44" s="884"/>
      <c r="Z44" s="884"/>
      <c r="AA44" s="884"/>
      <c r="AB44" s="884"/>
    </row>
    <row r="45" spans="1:28" ht="12.75">
      <c r="A45" s="884"/>
      <c r="B45" s="884"/>
      <c r="C45" s="884"/>
      <c r="D45" s="884"/>
      <c r="E45" s="884"/>
      <c r="F45" s="884"/>
      <c r="G45" s="884"/>
      <c r="H45" s="884"/>
      <c r="I45" s="884"/>
      <c r="J45" s="884"/>
      <c r="K45" s="884"/>
      <c r="L45" s="884"/>
      <c r="M45" s="884"/>
      <c r="N45" s="884"/>
      <c r="O45" s="884"/>
      <c r="P45" s="884"/>
      <c r="Q45" s="884"/>
      <c r="R45" s="884"/>
      <c r="S45" s="884"/>
      <c r="T45" s="884"/>
      <c r="U45" s="884"/>
      <c r="V45" s="884"/>
      <c r="W45" s="884"/>
      <c r="X45" s="884"/>
      <c r="Y45" s="884"/>
      <c r="Z45" s="884"/>
      <c r="AA45" s="884"/>
      <c r="AB45" s="884"/>
    </row>
    <row r="46" spans="1:28" ht="12.75">
      <c r="A46" s="884"/>
      <c r="B46" s="884"/>
      <c r="C46" s="884"/>
      <c r="D46" s="884"/>
      <c r="E46" s="884"/>
      <c r="F46" s="884"/>
      <c r="G46" s="884"/>
      <c r="H46" s="884"/>
      <c r="I46" s="884"/>
      <c r="J46" s="884"/>
      <c r="K46" s="884"/>
      <c r="L46" s="884"/>
      <c r="M46" s="884"/>
      <c r="N46" s="884"/>
      <c r="O46" s="884"/>
      <c r="P46" s="884"/>
      <c r="Q46" s="884"/>
      <c r="R46" s="884"/>
      <c r="S46" s="884"/>
      <c r="T46" s="884"/>
      <c r="U46" s="884"/>
      <c r="V46" s="884"/>
      <c r="W46" s="884"/>
      <c r="X46" s="884"/>
      <c r="Y46" s="884"/>
      <c r="Z46" s="884"/>
      <c r="AA46" s="884"/>
      <c r="AB46" s="884"/>
    </row>
    <row r="47" spans="1:28" ht="12.75">
      <c r="A47" s="884"/>
      <c r="B47" s="884"/>
      <c r="C47" s="884"/>
      <c r="D47" s="884"/>
      <c r="E47" s="884"/>
      <c r="F47" s="884"/>
      <c r="G47" s="884"/>
      <c r="H47" s="884"/>
      <c r="I47" s="884"/>
      <c r="J47" s="884"/>
      <c r="K47" s="884"/>
      <c r="L47" s="884"/>
      <c r="M47" s="884"/>
      <c r="N47" s="884"/>
      <c r="O47" s="884"/>
      <c r="P47" s="884"/>
      <c r="Q47" s="884"/>
      <c r="R47" s="884"/>
      <c r="S47" s="884"/>
      <c r="T47" s="884"/>
      <c r="U47" s="884"/>
      <c r="V47" s="884"/>
      <c r="W47" s="884"/>
      <c r="X47" s="884"/>
      <c r="Y47" s="884"/>
      <c r="Z47" s="884"/>
      <c r="AA47" s="884"/>
      <c r="AB47" s="884"/>
    </row>
    <row r="48" spans="1:28" ht="12.75">
      <c r="A48" s="884"/>
      <c r="B48" s="884"/>
      <c r="C48" s="884"/>
      <c r="D48" s="884"/>
      <c r="E48" s="884"/>
      <c r="F48" s="884"/>
      <c r="G48" s="884"/>
      <c r="H48" s="884"/>
      <c r="I48" s="884"/>
      <c r="J48" s="884"/>
      <c r="K48" s="884"/>
      <c r="L48" s="884"/>
      <c r="M48" s="884"/>
      <c r="N48" s="884"/>
      <c r="O48" s="884"/>
      <c r="P48" s="884"/>
      <c r="Q48" s="884"/>
      <c r="R48" s="884"/>
      <c r="S48" s="884"/>
      <c r="T48" s="884"/>
      <c r="U48" s="884"/>
      <c r="V48" s="884"/>
      <c r="W48" s="884"/>
      <c r="X48" s="884"/>
      <c r="Y48" s="884"/>
      <c r="Z48" s="884"/>
      <c r="AA48" s="884"/>
      <c r="AB48" s="884"/>
    </row>
    <row r="49" s="884" customFormat="1" ht="12.75"/>
    <row r="50" s="884" customFormat="1" ht="12.75"/>
    <row r="51" s="884" customFormat="1" ht="12.75"/>
    <row r="52" s="884" customFormat="1" ht="12.75"/>
    <row r="53" s="884" customFormat="1" ht="12.75"/>
    <row r="54" s="884" customFormat="1" ht="12.75"/>
    <row r="55" s="884" customFormat="1" ht="12.75"/>
    <row r="56" s="884" customFormat="1" ht="12.75"/>
    <row r="57" s="884" customFormat="1" ht="12.75"/>
    <row r="58" s="884" customFormat="1" ht="12.75"/>
    <row r="59" s="884" customFormat="1" ht="12.75"/>
    <row r="60" s="884" customFormat="1" ht="12.75"/>
    <row r="61" s="884" customFormat="1" ht="12.75"/>
    <row r="62" s="884" customFormat="1" ht="12.75"/>
    <row r="63" s="884" customFormat="1" ht="12.75"/>
    <row r="64" s="884" customFormat="1" ht="12.75"/>
    <row r="65" s="884" customFormat="1" ht="12.75"/>
    <row r="66" s="884" customFormat="1" ht="12.75"/>
    <row r="67" s="884" customFormat="1" ht="12.75"/>
    <row r="68" s="884" customFormat="1" ht="12.75"/>
    <row r="69" s="884" customFormat="1" ht="12.75"/>
    <row r="70" s="884" customFormat="1" ht="12.75"/>
    <row r="71" s="884" customFormat="1" ht="12.75"/>
    <row r="72" s="884" customFormat="1" ht="12.75"/>
    <row r="73" s="884" customFormat="1" ht="12.75"/>
    <row r="74" s="884" customFormat="1" ht="12.75"/>
    <row r="75" s="884" customFormat="1" ht="12.75"/>
    <row r="76" s="884" customFormat="1" ht="12.75"/>
    <row r="77" s="884" customFormat="1" ht="12.75"/>
    <row r="78" s="884" customFormat="1" ht="12.75"/>
    <row r="79" s="884" customFormat="1" ht="12.75"/>
    <row r="80" s="884" customFormat="1" ht="12.75"/>
    <row r="81" s="884" customFormat="1" ht="12.75"/>
    <row r="82" s="884" customFormat="1" ht="12.75"/>
    <row r="83" s="884" customFormat="1" ht="12.75"/>
    <row r="84" s="884" customFormat="1" ht="12.75"/>
    <row r="85" s="884" customFormat="1" ht="12.75"/>
    <row r="86" s="884" customFormat="1" ht="12.75"/>
    <row r="87" s="884" customFormat="1" ht="12.75"/>
    <row r="88" s="884" customFormat="1" ht="12.75"/>
    <row r="89" s="884" customFormat="1" ht="12.75"/>
    <row r="90" s="884" customFormat="1" ht="12.75"/>
    <row r="91" s="884" customFormat="1" ht="12.75"/>
    <row r="92" s="884" customFormat="1" ht="12.75"/>
    <row r="93" s="884" customFormat="1" ht="12.75"/>
    <row r="94" s="884" customFormat="1" ht="12.75"/>
    <row r="95" s="884" customFormat="1" ht="12.75"/>
    <row r="96" s="884" customFormat="1" ht="12.75"/>
    <row r="97" s="884" customFormat="1" ht="12.75"/>
    <row r="98" s="884" customFormat="1" ht="12.75"/>
    <row r="99" s="884" customFormat="1" ht="12.75"/>
    <row r="100" s="884" customFormat="1" ht="12.75"/>
    <row r="101" s="884" customFormat="1" ht="12.75"/>
    <row r="102" s="884" customFormat="1" ht="12.75"/>
    <row r="103" s="884" customFormat="1" ht="12.75"/>
    <row r="104" s="884" customFormat="1" ht="12.75"/>
    <row r="105" s="884" customFormat="1" ht="12.75"/>
    <row r="106" s="884" customFormat="1" ht="12.75"/>
    <row r="107" s="884" customFormat="1" ht="12.75"/>
    <row r="108" s="884" customFormat="1" ht="12.75"/>
    <row r="109" s="884" customFormat="1" ht="12.75"/>
    <row r="110" s="884" customFormat="1" ht="12.75"/>
    <row r="111" s="884" customFormat="1" ht="12.75"/>
    <row r="112" s="884" customFormat="1" ht="12.75"/>
    <row r="113" s="884" customFormat="1" ht="12.75"/>
    <row r="114" s="884" customFormat="1" ht="12.75"/>
    <row r="115" s="884" customFormat="1" ht="12.75"/>
    <row r="116" s="884" customFormat="1" ht="12.75"/>
    <row r="117" s="884" customFormat="1" ht="12.75"/>
    <row r="118" s="884" customFormat="1" ht="12.75"/>
    <row r="119" s="884" customFormat="1" ht="12.75"/>
    <row r="120" s="884" customFormat="1" ht="12.75"/>
    <row r="121" s="884" customFormat="1" ht="12.75"/>
    <row r="122" s="884" customFormat="1" ht="12.75"/>
    <row r="123" s="884" customFormat="1" ht="12.75"/>
    <row r="124" s="884" customFormat="1" ht="12.75"/>
    <row r="125" s="884" customFormat="1" ht="12.75"/>
    <row r="126" s="884" customFormat="1" ht="12.75"/>
    <row r="127" s="884" customFormat="1" ht="12.75"/>
    <row r="128" s="884" customFormat="1" ht="12.75"/>
    <row r="129" s="884" customFormat="1" ht="12.75"/>
    <row r="130" s="884" customFormat="1" ht="12.75"/>
    <row r="131" s="884" customFormat="1" ht="12.75"/>
    <row r="132" s="884" customFormat="1" ht="12.75"/>
    <row r="133" s="884" customFormat="1" ht="12.75"/>
    <row r="134" s="884" customFormat="1" ht="12.75"/>
    <row r="135" s="884" customFormat="1" ht="12.75"/>
    <row r="136" s="884" customFormat="1" ht="12.75"/>
    <row r="137" s="884" customFormat="1" ht="12.75"/>
    <row r="138" s="884" customFormat="1" ht="12.75"/>
    <row r="139" s="884" customFormat="1" ht="12.75"/>
    <row r="140" s="884" customFormat="1" ht="12.75"/>
    <row r="141" s="884" customFormat="1" ht="12.75"/>
    <row r="142" s="884" customFormat="1" ht="12.75"/>
    <row r="143" s="884" customFormat="1" ht="12.75"/>
    <row r="144" s="884" customFormat="1" ht="12.75"/>
    <row r="145" s="884" customFormat="1" ht="12.75"/>
    <row r="146" s="884" customFormat="1" ht="12.75"/>
    <row r="147" s="884" customFormat="1" ht="12.75"/>
    <row r="148" s="884" customFormat="1" ht="12.75"/>
    <row r="149" s="884" customFormat="1" ht="12.75"/>
    <row r="150" s="884" customFormat="1" ht="12.75"/>
    <row r="151" s="884" customFormat="1" ht="12.75"/>
    <row r="152" s="884" customFormat="1" ht="12.75"/>
    <row r="153" s="884" customFormat="1" ht="12.75"/>
    <row r="154" s="884" customFormat="1" ht="12.75"/>
    <row r="155" s="884" customFormat="1" ht="12.75"/>
    <row r="156" s="884" customFormat="1" ht="12.75"/>
    <row r="157" s="884" customFormat="1" ht="12.75"/>
    <row r="158" s="884" customFormat="1" ht="12.75"/>
    <row r="159" s="884" customFormat="1" ht="12.75"/>
    <row r="160" s="884" customFormat="1" ht="12.75"/>
    <row r="161" s="884" customFormat="1" ht="12.75"/>
    <row r="162" s="884" customFormat="1" ht="12.75"/>
    <row r="163" s="884" customFormat="1" ht="12.75"/>
    <row r="164" s="884" customFormat="1" ht="12.75"/>
    <row r="165" s="884" customFormat="1" ht="12.75"/>
    <row r="166" s="884" customFormat="1" ht="12.75"/>
    <row r="167" s="884" customFormat="1" ht="12.75"/>
    <row r="168" s="884" customFormat="1" ht="12.75"/>
    <row r="169" s="884" customFormat="1" ht="12.75"/>
    <row r="170" s="884" customFormat="1" ht="12.75"/>
    <row r="171" s="884" customFormat="1" ht="12.75"/>
    <row r="172" s="884" customFormat="1" ht="12.75"/>
    <row r="173" s="884" customFormat="1" ht="12.75"/>
    <row r="174" s="884" customFormat="1" ht="12.75"/>
    <row r="175" s="884" customFormat="1" ht="12.75"/>
    <row r="176" s="884" customFormat="1" ht="12.75"/>
    <row r="177" s="884" customFormat="1" ht="12.75"/>
    <row r="178" s="884" customFormat="1" ht="12.75"/>
    <row r="179" s="884" customFormat="1" ht="12.75"/>
    <row r="180" s="884" customFormat="1" ht="12.75"/>
    <row r="181" s="884" customFormat="1" ht="12.75"/>
    <row r="182" s="884" customFormat="1" ht="12.75"/>
    <row r="183" s="884" customFormat="1" ht="12.75"/>
    <row r="184" s="884" customFormat="1" ht="12.75"/>
    <row r="185" s="884" customFormat="1" ht="12.75"/>
    <row r="186" s="884" customFormat="1" ht="12.75"/>
    <row r="187" s="884" customFormat="1" ht="12.75"/>
    <row r="188" s="884" customFormat="1" ht="12.75"/>
    <row r="189" s="884" customFormat="1" ht="12.75"/>
    <row r="190" s="884" customFormat="1" ht="12.75"/>
    <row r="191" s="884" customFormat="1" ht="12.75"/>
    <row r="192" s="884" customFormat="1" ht="12.75"/>
    <row r="193" s="884" customFormat="1" ht="12.75"/>
    <row r="194" s="884" customFormat="1" ht="12.75"/>
    <row r="195" s="884" customFormat="1" ht="12.75"/>
    <row r="196" s="884" customFormat="1" ht="12.75"/>
    <row r="197" s="884" customFormat="1" ht="12.75"/>
    <row r="198" s="884" customFormat="1" ht="12.75"/>
    <row r="199" s="884" customFormat="1" ht="12.75"/>
    <row r="200" s="884" customFormat="1" ht="12.75"/>
    <row r="201" s="884" customFormat="1" ht="12.75"/>
    <row r="202" s="884" customFormat="1" ht="12.75"/>
    <row r="203" s="884" customFormat="1" ht="12.75"/>
    <row r="204" s="884" customFormat="1" ht="12.75"/>
    <row r="205" s="884" customFormat="1" ht="12.75"/>
    <row r="206" s="884" customFormat="1" ht="12.75"/>
    <row r="207" s="884" customFormat="1" ht="12.75"/>
    <row r="208" s="884" customFormat="1" ht="12.75"/>
    <row r="209" s="884" customFormat="1" ht="12.75"/>
    <row r="210" s="884" customFormat="1" ht="12.75"/>
    <row r="211" s="884" customFormat="1" ht="12.75"/>
    <row r="212" s="884" customFormat="1" ht="12.75"/>
    <row r="213" s="884" customFormat="1" ht="12.75"/>
    <row r="214" s="884" customFormat="1" ht="12.75"/>
    <row r="215" s="884" customFormat="1" ht="12.75"/>
    <row r="216" s="884" customFormat="1" ht="12.75"/>
    <row r="217" s="884" customFormat="1" ht="12.75"/>
    <row r="218" s="884" customFormat="1" ht="12.75"/>
    <row r="219" s="884" customFormat="1" ht="12.75"/>
    <row r="220" s="884" customFormat="1" ht="12.75"/>
    <row r="221" s="884" customFormat="1" ht="12.75"/>
    <row r="222" s="884" customFormat="1" ht="12.75"/>
    <row r="223" s="884" customFormat="1" ht="12.75"/>
    <row r="224" s="884" customFormat="1" ht="12.75"/>
    <row r="225" s="884" customFormat="1" ht="12.75"/>
    <row r="226" s="884" customFormat="1" ht="12.75"/>
    <row r="227" s="884" customFormat="1" ht="12.75"/>
    <row r="228" s="884" customFormat="1" ht="12.75"/>
    <row r="229" s="884" customFormat="1" ht="12.75"/>
    <row r="230" s="884" customFormat="1" ht="12.75"/>
    <row r="231" s="884" customFormat="1" ht="12.75"/>
    <row r="232" s="884" customFormat="1" ht="12.75"/>
    <row r="233" s="884" customFormat="1" ht="12.75"/>
    <row r="234" s="884" customFormat="1" ht="12.75"/>
    <row r="235" s="884" customFormat="1" ht="12.75"/>
    <row r="236" s="884" customFormat="1" ht="12.75"/>
    <row r="237" s="884" customFormat="1" ht="12.75"/>
    <row r="238" s="884" customFormat="1" ht="12.75"/>
    <row r="239" s="884" customFormat="1" ht="12.75"/>
    <row r="240" s="884" customFormat="1" ht="12.75"/>
    <row r="241" s="884" customFormat="1" ht="12.75"/>
    <row r="242" s="884" customFormat="1" ht="12.75"/>
    <row r="243" s="884" customFormat="1" ht="12.75"/>
    <row r="244" s="884" customFormat="1" ht="12.75"/>
    <row r="245" s="884" customFormat="1" ht="12.75"/>
    <row r="246" s="884" customFormat="1" ht="12.75"/>
    <row r="247" s="884" customFormat="1" ht="12.75"/>
    <row r="248" s="884" customFormat="1" ht="12.75"/>
    <row r="249" s="884" customFormat="1" ht="12.75"/>
    <row r="250" s="884" customFormat="1" ht="12.75"/>
    <row r="251" s="884" customFormat="1" ht="12.75"/>
    <row r="252" s="884" customFormat="1" ht="12.75"/>
    <row r="253" s="884" customFormat="1" ht="12.75"/>
    <row r="254" s="884" customFormat="1" ht="12.75"/>
    <row r="255" s="884" customFormat="1" ht="12.75"/>
    <row r="256" s="884" customFormat="1" ht="12.75"/>
    <row r="257" s="884" customFormat="1" ht="12.75"/>
    <row r="258" s="884" customFormat="1" ht="12.75"/>
    <row r="259" s="884" customFormat="1" ht="12.75"/>
    <row r="260" s="884" customFormat="1" ht="12.75"/>
    <row r="261" s="884" customFormat="1" ht="12.75"/>
    <row r="262" s="884" customFormat="1" ht="12.75"/>
    <row r="263" s="884" customFormat="1" ht="12.75"/>
    <row r="264" s="884" customFormat="1" ht="12.75"/>
    <row r="265" s="884" customFormat="1" ht="12.75"/>
    <row r="266" s="884" customFormat="1" ht="12.75"/>
    <row r="267" s="884" customFormat="1" ht="12.75"/>
    <row r="268" s="884" customFormat="1" ht="12.75"/>
    <row r="269" s="884" customFormat="1" ht="12.75"/>
    <row r="270" s="884" customFormat="1" ht="12.75"/>
    <row r="271" s="884" customFormat="1" ht="12.75"/>
    <row r="272" s="884" customFormat="1" ht="12.75"/>
    <row r="273" s="884" customFormat="1" ht="12.75"/>
    <row r="274" s="884" customFormat="1" ht="12.75"/>
    <row r="275" s="884" customFormat="1" ht="12.75"/>
    <row r="276" s="884" customFormat="1" ht="12.75"/>
    <row r="277" s="884" customFormat="1" ht="12.75"/>
    <row r="278" s="884" customFormat="1" ht="12.75"/>
    <row r="279" s="884" customFormat="1" ht="12.75"/>
    <row r="280" s="884" customFormat="1" ht="12.75"/>
    <row r="281" s="884" customFormat="1" ht="12.75"/>
    <row r="282" s="884" customFormat="1" ht="12.75"/>
    <row r="283" s="884" customFormat="1" ht="12.75"/>
    <row r="284" s="884" customFormat="1" ht="12.75"/>
    <row r="285" s="884" customFormat="1" ht="12.75"/>
    <row r="286" s="884" customFormat="1" ht="12.75"/>
    <row r="287" s="884" customFormat="1" ht="12.75"/>
    <row r="288" s="884" customFormat="1" ht="12.75"/>
    <row r="289" s="884" customFormat="1" ht="12.75"/>
    <row r="290" s="884" customFormat="1" ht="12.75"/>
    <row r="291" s="884" customFormat="1" ht="12.75"/>
    <row r="292" s="884" customFormat="1" ht="12.75"/>
    <row r="293" s="884" customFormat="1" ht="12.75"/>
    <row r="294" s="884" customFormat="1" ht="12.75"/>
    <row r="295" s="884" customFormat="1" ht="12.75"/>
    <row r="296" s="884" customFormat="1" ht="12.75"/>
    <row r="297" s="884" customFormat="1" ht="12.75"/>
    <row r="298" s="884" customFormat="1" ht="12.75"/>
    <row r="299" s="884" customFormat="1" ht="12.75"/>
    <row r="300" s="884" customFormat="1" ht="12.75"/>
    <row r="301" s="884" customFormat="1" ht="12.75"/>
    <row r="302" s="884" customFormat="1" ht="12.75"/>
    <row r="303" s="884" customFormat="1" ht="12.75"/>
    <row r="304" s="884" customFormat="1" ht="12.75"/>
    <row r="305" s="884" customFormat="1" ht="12.75"/>
    <row r="306" s="884" customFormat="1" ht="12.75"/>
    <row r="307" s="884" customFormat="1" ht="12.75"/>
    <row r="308" s="884" customFormat="1" ht="12.75"/>
    <row r="309" s="884" customFormat="1" ht="12.75"/>
    <row r="310" s="884" customFormat="1" ht="12.75"/>
    <row r="311" s="884" customFormat="1" ht="12.75"/>
    <row r="312" s="884" customFormat="1" ht="12.75"/>
    <row r="313" s="884" customFormat="1" ht="12.75"/>
    <row r="314" s="884" customFormat="1" ht="12.75"/>
    <row r="315" s="884" customFormat="1" ht="12.75"/>
    <row r="316" s="884" customFormat="1" ht="12.75"/>
    <row r="317" s="884" customFormat="1" ht="12.75"/>
    <row r="318" s="884" customFormat="1" ht="12.75"/>
    <row r="319" s="884" customFormat="1" ht="12.75"/>
    <row r="320" s="884" customFormat="1" ht="12.75"/>
    <row r="321" s="884" customFormat="1" ht="12.75"/>
    <row r="322" s="884" customFormat="1" ht="12.75"/>
    <row r="323" s="884" customFormat="1" ht="12.75"/>
    <row r="324" s="884" customFormat="1" ht="12.75"/>
    <row r="325" s="884" customFormat="1" ht="12.75"/>
    <row r="326" s="884" customFormat="1" ht="12.75"/>
    <row r="327" s="884" customFormat="1" ht="12.75"/>
    <row r="328" s="884" customFormat="1" ht="12.75"/>
    <row r="329" s="884" customFormat="1" ht="12.75"/>
    <row r="330" s="884" customFormat="1" ht="12.75"/>
    <row r="331" s="884" customFormat="1" ht="12.75"/>
    <row r="332" s="884" customFormat="1" ht="12.75"/>
    <row r="333" s="884" customFormat="1" ht="12.75"/>
    <row r="334" s="884" customFormat="1" ht="12.75"/>
    <row r="335" s="884" customFormat="1" ht="12.75"/>
    <row r="336" s="884" customFormat="1" ht="12.75"/>
    <row r="337" s="884" customFormat="1" ht="12.75"/>
    <row r="338" s="884" customFormat="1" ht="12.75"/>
    <row r="339" s="884" customFormat="1" ht="12.75"/>
    <row r="340" s="884" customFormat="1" ht="12.75"/>
    <row r="341" s="884" customFormat="1" ht="12.75"/>
    <row r="342" s="884" customFormat="1" ht="12.75"/>
    <row r="343" s="884" customFormat="1" ht="12.75"/>
    <row r="344" s="884" customFormat="1" ht="12.75"/>
    <row r="345" s="884" customFormat="1" ht="12.75"/>
    <row r="346" s="884" customFormat="1" ht="12.75"/>
    <row r="347" s="884" customFormat="1" ht="12.75"/>
    <row r="348" s="884" customFormat="1" ht="12.75"/>
    <row r="349" s="884" customFormat="1" ht="12.75"/>
    <row r="350" s="884" customFormat="1" ht="12.75"/>
    <row r="351" s="884" customFormat="1" ht="12.75"/>
    <row r="352" s="884" customFormat="1" ht="12.75"/>
    <row r="353" s="884" customFormat="1" ht="12.75"/>
    <row r="354" s="884" customFormat="1" ht="12.75"/>
    <row r="355" s="884" customFormat="1" ht="12.75"/>
    <row r="356" s="884" customFormat="1" ht="12.75"/>
    <row r="357" s="884" customFormat="1" ht="12.75"/>
    <row r="358" s="884" customFormat="1" ht="12.75"/>
    <row r="359" s="884" customFormat="1" ht="12.75"/>
    <row r="360" s="884" customFormat="1" ht="12.75"/>
    <row r="361" s="884" customFormat="1" ht="12.75"/>
    <row r="362" s="884" customFormat="1" ht="12.75"/>
    <row r="363" s="884" customFormat="1" ht="12.75"/>
    <row r="364" s="884" customFormat="1" ht="12.75"/>
    <row r="365" s="884" customFormat="1" ht="12.75"/>
    <row r="366" s="884" customFormat="1" ht="12.75"/>
    <row r="367" s="884" customFormat="1" ht="12.75"/>
    <row r="368" s="884" customFormat="1" ht="12.75"/>
    <row r="369" s="884" customFormat="1" ht="12.75"/>
    <row r="370" s="884" customFormat="1" ht="12.75"/>
    <row r="371" s="884" customFormat="1" ht="12.75"/>
    <row r="372" s="884" customFormat="1" ht="12.75"/>
    <row r="373" s="884" customFormat="1" ht="12.75"/>
    <row r="374" s="884" customFormat="1" ht="12.75"/>
    <row r="375" s="884" customFormat="1" ht="12.75"/>
    <row r="376" s="884" customFormat="1" ht="12.75"/>
    <row r="377" s="884" customFormat="1" ht="12.75"/>
    <row r="378" s="884" customFormat="1" ht="12.75"/>
    <row r="379" s="884" customFormat="1" ht="12.75"/>
    <row r="380" s="884" customFormat="1" ht="12.75"/>
    <row r="381" s="884" customFormat="1" ht="12.75"/>
    <row r="382" s="884" customFormat="1" ht="12.75"/>
    <row r="383" s="884" customFormat="1" ht="12.75"/>
    <row r="384" s="884" customFormat="1" ht="12.75"/>
    <row r="385" s="884" customFormat="1" ht="12.75"/>
    <row r="386" s="884" customFormat="1" ht="12.75"/>
    <row r="387" s="884" customFormat="1" ht="12.75"/>
    <row r="388" s="884" customFormat="1" ht="12.75"/>
    <row r="389" s="884" customFormat="1" ht="12.75"/>
    <row r="390" s="884" customFormat="1" ht="12.75"/>
    <row r="391" s="884" customFormat="1" ht="12.75"/>
    <row r="392" s="884" customFormat="1" ht="12.75"/>
    <row r="393" s="884" customFormat="1" ht="12.75"/>
    <row r="394" s="884" customFormat="1" ht="12.75"/>
    <row r="395" s="884" customFormat="1" ht="12.75"/>
    <row r="396" s="884" customFormat="1" ht="12.75"/>
    <row r="397" s="884" customFormat="1" ht="12.75"/>
    <row r="398" s="884" customFormat="1" ht="12.75"/>
    <row r="399" s="884" customFormat="1" ht="12.75"/>
    <row r="400" s="884" customFormat="1" ht="12.75"/>
    <row r="401" s="884" customFormat="1" ht="12.75"/>
    <row r="402" s="884" customFormat="1" ht="12.75"/>
    <row r="403" s="884" customFormat="1" ht="12.75"/>
    <row r="404" s="884" customFormat="1" ht="12.75"/>
    <row r="405" s="884" customFormat="1" ht="12.75"/>
    <row r="406" s="884" customFormat="1" ht="12.75"/>
    <row r="407" s="884" customFormat="1" ht="12.75"/>
    <row r="408" s="884" customFormat="1" ht="12.75"/>
    <row r="409" s="884" customFormat="1" ht="12.75"/>
    <row r="410" s="884" customFormat="1" ht="12.75"/>
    <row r="411" s="884" customFormat="1" ht="12.75"/>
    <row r="412" s="884" customFormat="1" ht="12.75"/>
    <row r="413" s="884" customFormat="1" ht="12.75"/>
    <row r="414" s="884" customFormat="1" ht="12.75"/>
    <row r="415" s="884" customFormat="1" ht="12.75"/>
    <row r="416" s="884" customFormat="1" ht="12.75"/>
    <row r="417" s="884" customFormat="1" ht="12.75"/>
    <row r="418" s="884" customFormat="1" ht="12.75"/>
    <row r="419" s="884" customFormat="1" ht="12.75"/>
    <row r="420" s="884" customFormat="1" ht="12.75"/>
    <row r="421" s="884" customFormat="1" ht="12.75"/>
    <row r="422" s="884" customFormat="1" ht="12.75"/>
    <row r="423" s="884" customFormat="1" ht="12.75"/>
    <row r="424" s="884" customFormat="1" ht="12.75"/>
    <row r="425" s="884" customFormat="1" ht="12.75"/>
    <row r="426" s="884" customFormat="1" ht="12.75"/>
    <row r="427" s="884" customFormat="1" ht="12.75"/>
    <row r="428" s="884" customFormat="1" ht="12.75"/>
    <row r="429" s="884" customFormat="1" ht="12.75"/>
    <row r="430" s="884" customFormat="1" ht="12.75"/>
    <row r="431" s="884" customFormat="1" ht="12.75"/>
    <row r="432" s="884" customFormat="1" ht="12.75"/>
    <row r="433" s="884" customFormat="1" ht="12.75"/>
    <row r="434" s="884" customFormat="1" ht="12.75"/>
    <row r="435" s="884" customFormat="1" ht="12.75"/>
    <row r="436" s="884" customFormat="1" ht="12.75"/>
    <row r="437" s="884" customFormat="1" ht="12.75"/>
    <row r="438" s="884" customFormat="1" ht="12.75"/>
    <row r="439" s="884" customFormat="1" ht="12.75"/>
    <row r="440" s="884" customFormat="1" ht="12.75"/>
    <row r="441" s="884" customFormat="1" ht="12.75"/>
    <row r="442" s="884" customFormat="1" ht="12.75"/>
    <row r="443" s="884" customFormat="1" ht="12.75"/>
    <row r="444" s="884" customFormat="1" ht="12.75"/>
    <row r="445" s="884" customFormat="1" ht="12.75"/>
    <row r="446" s="884" customFormat="1" ht="12.75"/>
    <row r="447" s="884" customFormat="1" ht="12.75"/>
    <row r="448" s="884" customFormat="1" ht="12.75"/>
    <row r="449" s="884" customFormat="1" ht="12.75"/>
    <row r="450" s="884" customFormat="1" ht="12.75"/>
    <row r="451" s="884" customFormat="1" ht="12.75"/>
    <row r="452" s="884" customFormat="1" ht="12.75"/>
    <row r="453" s="884" customFormat="1" ht="12.75"/>
    <row r="454" s="884" customFormat="1" ht="12.75"/>
    <row r="455" s="884" customFormat="1" ht="12.75"/>
    <row r="456" s="884" customFormat="1" ht="12.75"/>
    <row r="457" s="884" customFormat="1" ht="12.75"/>
    <row r="458" s="884" customFormat="1" ht="12.75"/>
    <row r="459" s="884" customFormat="1" ht="12.75"/>
    <row r="460" s="884" customFormat="1" ht="12.75"/>
    <row r="461" s="884" customFormat="1" ht="12.75"/>
    <row r="462" s="884" customFormat="1" ht="12.75"/>
    <row r="463" s="884" customFormat="1" ht="12.75"/>
    <row r="464" s="884" customFormat="1" ht="12.75"/>
    <row r="465" s="884" customFormat="1" ht="12.75"/>
    <row r="466" s="884" customFormat="1" ht="12.75"/>
    <row r="467" s="884" customFormat="1" ht="12.75"/>
    <row r="468" s="884" customFormat="1" ht="12.75"/>
    <row r="469" s="884" customFormat="1" ht="12.75"/>
    <row r="470" s="884" customFormat="1" ht="12.75"/>
    <row r="471" s="884" customFormat="1" ht="12.75"/>
    <row r="472" s="884" customFormat="1" ht="12.75"/>
    <row r="473" s="884" customFormat="1" ht="12.75"/>
    <row r="474" s="884" customFormat="1" ht="12.75"/>
    <row r="475" s="884" customFormat="1" ht="12.75"/>
    <row r="476" s="884" customFormat="1" ht="12.75"/>
    <row r="477" s="884" customFormat="1" ht="12.75"/>
    <row r="478" s="884" customFormat="1" ht="12.75"/>
    <row r="479" s="884" customFormat="1" ht="12.75"/>
    <row r="480" s="884" customFormat="1" ht="12.75"/>
    <row r="481" s="884" customFormat="1" ht="12.75"/>
    <row r="482" s="884" customFormat="1" ht="12.75"/>
    <row r="483" s="884" customFormat="1" ht="12.75"/>
    <row r="484" s="884" customFormat="1" ht="12.75"/>
    <row r="485" s="884" customFormat="1" ht="12.75"/>
    <row r="486" s="884" customFormat="1" ht="12.75"/>
    <row r="487" s="884" customFormat="1" ht="12.75"/>
    <row r="488" s="884" customFormat="1" ht="12.75"/>
    <row r="489" s="884" customFormat="1" ht="12.75"/>
    <row r="490" s="884" customFormat="1" ht="12.75"/>
    <row r="491" s="884" customFormat="1" ht="12.75"/>
    <row r="492" s="884" customFormat="1" ht="12.75"/>
    <row r="493" s="884" customFormat="1" ht="12.75"/>
    <row r="494" s="884" customFormat="1" ht="12.75"/>
    <row r="495" s="884" customFormat="1" ht="12.75"/>
    <row r="496" s="884" customFormat="1" ht="12.75"/>
    <row r="497" s="884" customFormat="1" ht="12.75"/>
    <row r="498" s="884" customFormat="1" ht="12.75"/>
    <row r="499" s="884" customFormat="1" ht="12.75"/>
    <row r="500" s="884" customFormat="1" ht="12.75"/>
    <row r="501" s="884" customFormat="1" ht="12.75"/>
    <row r="502" s="884" customFormat="1" ht="12.75"/>
    <row r="503" s="884" customFormat="1" ht="12.75"/>
    <row r="504" s="884" customFormat="1" ht="12.75"/>
    <row r="505" s="884" customFormat="1" ht="12.75"/>
    <row r="506" s="884" customFormat="1" ht="12.75"/>
    <row r="507" s="884" customFormat="1" ht="12.75"/>
    <row r="508" s="884" customFormat="1" ht="12.75"/>
    <row r="509" s="884" customFormat="1" ht="12.75"/>
    <row r="510" s="884" customFormat="1" ht="12.75"/>
    <row r="511" s="884" customFormat="1" ht="12.75"/>
    <row r="512" s="884" customFormat="1" ht="12.75"/>
    <row r="513" s="884" customFormat="1" ht="12.75"/>
    <row r="514" s="884" customFormat="1" ht="12.75"/>
    <row r="515" s="884" customFormat="1" ht="12.75"/>
    <row r="516" s="884" customFormat="1" ht="12.75"/>
    <row r="517" s="884" customFormat="1" ht="12.75"/>
    <row r="518" s="884" customFormat="1" ht="12.75"/>
    <row r="519" s="884" customFormat="1" ht="12.75"/>
    <row r="520" s="884" customFormat="1" ht="12.75"/>
    <row r="521" s="884" customFormat="1" ht="12.75"/>
    <row r="522" s="884" customFormat="1" ht="12.75"/>
    <row r="523" s="884" customFormat="1" ht="12.75"/>
    <row r="524" s="884" customFormat="1" ht="12.75"/>
    <row r="525" s="884" customFormat="1" ht="12.75"/>
    <row r="526" s="884" customFormat="1" ht="12.75"/>
    <row r="527" s="884" customFormat="1" ht="12.75"/>
    <row r="528" s="884" customFormat="1" ht="12.75"/>
    <row r="529" s="884" customFormat="1" ht="12.75"/>
    <row r="530" s="884" customFormat="1" ht="12.75"/>
    <row r="531" s="884" customFormat="1" ht="12.75"/>
    <row r="532" s="884" customFormat="1" ht="12.75"/>
    <row r="533" s="884" customFormat="1" ht="12.75"/>
    <row r="534" s="884" customFormat="1" ht="12.75"/>
    <row r="535" s="884" customFormat="1" ht="12.75"/>
    <row r="536" s="884" customFormat="1" ht="12.75"/>
    <row r="537" s="884" customFormat="1" ht="12.75"/>
    <row r="538" s="884" customFormat="1" ht="12.75"/>
    <row r="539" s="884" customFormat="1" ht="12.75"/>
    <row r="540" s="884" customFormat="1" ht="12.75"/>
    <row r="541" s="884" customFormat="1" ht="12.75"/>
    <row r="542" s="884" customFormat="1" ht="12.75"/>
    <row r="543" s="884" customFormat="1" ht="12.75"/>
    <row r="544" s="884" customFormat="1" ht="12.75"/>
    <row r="545" s="884" customFormat="1" ht="12.75"/>
    <row r="546" s="884" customFormat="1" ht="12.75"/>
    <row r="547" s="884" customFormat="1" ht="12.75"/>
    <row r="548" s="884" customFormat="1" ht="12.75"/>
    <row r="549" s="884" customFormat="1" ht="12.75"/>
    <row r="550" s="884" customFormat="1" ht="12.75"/>
    <row r="551" s="884" customFormat="1" ht="12.75"/>
    <row r="552" s="884" customFormat="1" ht="12.75"/>
    <row r="553" s="884" customFormat="1" ht="12.75"/>
    <row r="554" s="884" customFormat="1" ht="12.75"/>
    <row r="555" s="884" customFormat="1" ht="12.75"/>
    <row r="556" s="884" customFormat="1" ht="12.75"/>
    <row r="557" s="884" customFormat="1" ht="12.75"/>
    <row r="558" s="884" customFormat="1" ht="12.75"/>
    <row r="559" s="884" customFormat="1" ht="12.75"/>
    <row r="560" s="884" customFormat="1" ht="12.75"/>
    <row r="561" s="884" customFormat="1" ht="12.75"/>
    <row r="562" s="884" customFormat="1" ht="12.75"/>
    <row r="563" s="884" customFormat="1" ht="12.75"/>
    <row r="564" s="884" customFormat="1" ht="12.75"/>
    <row r="565" s="884" customFormat="1" ht="12.75"/>
    <row r="566" s="884" customFormat="1" ht="12.75"/>
    <row r="567" s="884" customFormat="1" ht="12.75"/>
    <row r="568" s="884" customFormat="1" ht="12.75"/>
    <row r="569" s="884" customFormat="1" ht="12.75"/>
    <row r="570" s="884" customFormat="1" ht="12.75"/>
    <row r="571" s="884" customFormat="1" ht="12.75"/>
    <row r="572" s="884" customFormat="1" ht="12.75"/>
    <row r="573" s="884" customFormat="1" ht="12.75"/>
    <row r="574" s="884" customFormat="1" ht="12.75"/>
    <row r="575" s="884" customFormat="1" ht="12.75"/>
    <row r="576" s="884" customFormat="1" ht="12.75"/>
    <row r="577" s="884" customFormat="1" ht="12.75"/>
    <row r="578" s="884" customFormat="1" ht="12.75"/>
    <row r="579" s="884" customFormat="1" ht="12.75"/>
    <row r="580" s="884" customFormat="1" ht="12.75"/>
    <row r="581" s="884" customFormat="1" ht="12.75"/>
    <row r="582" s="884" customFormat="1" ht="12.75"/>
    <row r="583" s="884" customFormat="1" ht="12.75"/>
    <row r="584" s="884" customFormat="1" ht="12.75"/>
    <row r="585" s="884" customFormat="1" ht="12.75"/>
    <row r="586" s="884" customFormat="1" ht="12.75"/>
    <row r="587" s="884" customFormat="1" ht="12.75"/>
    <row r="588" s="884" customFormat="1" ht="12.75"/>
    <row r="589" s="884" customFormat="1" ht="12.75"/>
    <row r="590" s="884" customFormat="1" ht="12.75"/>
    <row r="591" s="884" customFormat="1" ht="12.75"/>
    <row r="592" s="884" customFormat="1" ht="12.75"/>
    <row r="593" s="884" customFormat="1" ht="12.75"/>
    <row r="594" s="884" customFormat="1" ht="12.75"/>
    <row r="595" s="884" customFormat="1" ht="12.75"/>
    <row r="596" s="884" customFormat="1" ht="12.75"/>
    <row r="597" s="884" customFormat="1" ht="12.75"/>
    <row r="598" s="884" customFormat="1" ht="12.75"/>
    <row r="599" s="884" customFormat="1" ht="12.75"/>
    <row r="600" s="884" customFormat="1" ht="12.75"/>
    <row r="601" s="884" customFormat="1" ht="12.75"/>
    <row r="602" s="884" customFormat="1" ht="12.75"/>
    <row r="603" s="884" customFormat="1" ht="12.75"/>
    <row r="604" s="884" customFormat="1" ht="12.75"/>
    <row r="605" s="884" customFormat="1" ht="12.75"/>
    <row r="606" s="884" customFormat="1" ht="12.75"/>
    <row r="607" s="884" customFormat="1" ht="12.75"/>
    <row r="608" s="884" customFormat="1" ht="12.75"/>
    <row r="609" s="884" customFormat="1" ht="12.75"/>
    <row r="610" s="884" customFormat="1" ht="12.75"/>
    <row r="611" s="884" customFormat="1" ht="12.75"/>
    <row r="612" s="884" customFormat="1" ht="12.75"/>
    <row r="613" s="884" customFormat="1" ht="12.75"/>
    <row r="614" s="884" customFormat="1" ht="12.75"/>
    <row r="615" s="884" customFormat="1" ht="12.75"/>
    <row r="616" s="884" customFormat="1" ht="12.75"/>
    <row r="617" s="884" customFormat="1" ht="12.75"/>
    <row r="618" s="884" customFormat="1" ht="12.75"/>
    <row r="619" s="884" customFormat="1" ht="12.75"/>
    <row r="620" s="884" customFormat="1" ht="12.75"/>
    <row r="621" s="884" customFormat="1" ht="12.75"/>
    <row r="622" s="884" customFormat="1" ht="12.75"/>
    <row r="623" s="884" customFormat="1" ht="12.75"/>
    <row r="624" s="884" customFormat="1" ht="12.75"/>
    <row r="625" s="884" customFormat="1" ht="12.75"/>
    <row r="626" s="884" customFormat="1" ht="12.75"/>
    <row r="627" s="884" customFormat="1" ht="12.75"/>
    <row r="628" s="884" customFormat="1" ht="12.75"/>
    <row r="629" s="884" customFormat="1" ht="12.75"/>
    <row r="630" s="884" customFormat="1" ht="12.75"/>
    <row r="631" s="884" customFormat="1" ht="12.75"/>
    <row r="632" s="884" customFormat="1" ht="12.75"/>
    <row r="633" s="884" customFormat="1" ht="12.75"/>
    <row r="634" s="884" customFormat="1" ht="12.75"/>
    <row r="635" s="884" customFormat="1" ht="12.75"/>
    <row r="636" s="884" customFormat="1" ht="12.75"/>
    <row r="637" s="884" customFormat="1" ht="12.75"/>
    <row r="638" s="884" customFormat="1" ht="12.75"/>
    <row r="639" s="884" customFormat="1" ht="12.75"/>
    <row r="640" s="884" customFormat="1" ht="12.75"/>
    <row r="641" s="884" customFormat="1" ht="12.75"/>
    <row r="642" s="884" customFormat="1" ht="12.75"/>
    <row r="643" s="884" customFormat="1" ht="12.75"/>
    <row r="644" s="884" customFormat="1" ht="12.75"/>
    <row r="645" s="884" customFormat="1" ht="12.75"/>
    <row r="646" s="884" customFormat="1" ht="12.75"/>
    <row r="647" s="884" customFormat="1" ht="12.75"/>
    <row r="648" s="884" customFormat="1" ht="12.75"/>
    <row r="649" s="884" customFormat="1" ht="12.75"/>
    <row r="650" s="884" customFormat="1" ht="12.75"/>
    <row r="651" s="884" customFormat="1" ht="12.75"/>
    <row r="652" s="884" customFormat="1" ht="12.75"/>
    <row r="653" s="884" customFormat="1" ht="12.75"/>
    <row r="654" s="884" customFormat="1" ht="12.75"/>
    <row r="655" s="884" customFormat="1" ht="12.75"/>
    <row r="656" s="884" customFormat="1" ht="12.75"/>
    <row r="657" s="884" customFormat="1" ht="12.75"/>
    <row r="658" s="884" customFormat="1" ht="12.75"/>
    <row r="659" s="884" customFormat="1" ht="12.75"/>
    <row r="660" s="884" customFormat="1" ht="12.75"/>
    <row r="661" s="884" customFormat="1" ht="12.75"/>
    <row r="662" s="884" customFormat="1" ht="12.75"/>
    <row r="663" s="884" customFormat="1" ht="12.75"/>
    <row r="664" s="884" customFormat="1" ht="12.75"/>
    <row r="665" s="884" customFormat="1" ht="12.75"/>
    <row r="666" s="884" customFormat="1" ht="12.75"/>
    <row r="667" s="884" customFormat="1" ht="12.75"/>
    <row r="668" s="884" customFormat="1" ht="12.75"/>
    <row r="669" s="884" customFormat="1" ht="12.75"/>
    <row r="670" s="884" customFormat="1" ht="12.75"/>
    <row r="671" s="884" customFormat="1" ht="12.75"/>
    <row r="672" s="884" customFormat="1" ht="12.75"/>
    <row r="673" s="884" customFormat="1" ht="12.75"/>
    <row r="674" s="884" customFormat="1" ht="12.75"/>
    <row r="675" s="884" customFormat="1" ht="12.75"/>
    <row r="676" s="884" customFormat="1" ht="12.75"/>
    <row r="677" s="884" customFormat="1" ht="12.75"/>
    <row r="678" s="884" customFormat="1" ht="12.75"/>
    <row r="679" s="884" customFormat="1" ht="12.75"/>
    <row r="680" s="884" customFormat="1" ht="12.75"/>
    <row r="681" s="884" customFormat="1" ht="12.75"/>
    <row r="682" s="884" customFormat="1" ht="12.75"/>
    <row r="683" s="884" customFormat="1" ht="12.75"/>
    <row r="684" s="884" customFormat="1" ht="12.75"/>
    <row r="685" s="884" customFormat="1" ht="12.75"/>
    <row r="686" s="884" customFormat="1" ht="12.75"/>
    <row r="687" s="884" customFormat="1" ht="12.75"/>
    <row r="688" s="884" customFormat="1" ht="12.75"/>
    <row r="689" s="884" customFormat="1" ht="12.75"/>
    <row r="690" s="884" customFormat="1" ht="12.75"/>
    <row r="691" s="884" customFormat="1" ht="12.75"/>
    <row r="692" s="884" customFormat="1" ht="12.75"/>
    <row r="693" s="884" customFormat="1" ht="12.75"/>
    <row r="694" s="884" customFormat="1" ht="12.75"/>
    <row r="695" s="884" customFormat="1" ht="12.75"/>
    <row r="696" s="884" customFormat="1" ht="12.75"/>
    <row r="697" s="884" customFormat="1" ht="12.75"/>
    <row r="698" s="884" customFormat="1" ht="12.75"/>
    <row r="699" s="884" customFormat="1" ht="12.75"/>
    <row r="700" s="884" customFormat="1" ht="12.75"/>
    <row r="701" s="884" customFormat="1" ht="12.75"/>
    <row r="702" s="884" customFormat="1" ht="12.75"/>
    <row r="703" s="884" customFormat="1" ht="12.75"/>
    <row r="704" s="884" customFormat="1" ht="12.75"/>
    <row r="705" s="884" customFormat="1" ht="12.75"/>
    <row r="706" s="884" customFormat="1" ht="12.75"/>
    <row r="707" s="884" customFormat="1" ht="12.75"/>
    <row r="708" s="884" customFormat="1" ht="12.75"/>
    <row r="709" s="884" customFormat="1" ht="12.75"/>
    <row r="710" s="884" customFormat="1" ht="12.75"/>
    <row r="711" s="884" customFormat="1" ht="12.75"/>
    <row r="712" s="884" customFormat="1" ht="12.75"/>
    <row r="713" s="884" customFormat="1" ht="12.75"/>
    <row r="714" s="884" customFormat="1" ht="12.75"/>
    <row r="715" s="884" customFormat="1" ht="12.75"/>
    <row r="716" s="884" customFormat="1" ht="12.75"/>
    <row r="717" s="884" customFormat="1" ht="12.75"/>
    <row r="718" s="884" customFormat="1" ht="12.75"/>
    <row r="719" s="884" customFormat="1" ht="12.75"/>
    <row r="720" s="884" customFormat="1" ht="12.75"/>
    <row r="721" s="884" customFormat="1" ht="12.75"/>
    <row r="722" s="884" customFormat="1" ht="12.75"/>
    <row r="723" s="884" customFormat="1" ht="12.75"/>
    <row r="724" s="884" customFormat="1" ht="12.75"/>
    <row r="725" s="884" customFormat="1" ht="12.75"/>
    <row r="726" s="884" customFormat="1" ht="12.75"/>
    <row r="727" s="884" customFormat="1" ht="12.75"/>
    <row r="728" s="884" customFormat="1" ht="12.75"/>
    <row r="729" s="884" customFormat="1" ht="12.75"/>
    <row r="730" s="884" customFormat="1" ht="12.75"/>
    <row r="731" s="884" customFormat="1" ht="12.75"/>
    <row r="732" s="884" customFormat="1" ht="12.75"/>
    <row r="733" s="884" customFormat="1" ht="12.75"/>
    <row r="734" s="884" customFormat="1" ht="12.75"/>
    <row r="735" s="884" customFormat="1" ht="12.75"/>
    <row r="736" s="884" customFormat="1" ht="12.75"/>
    <row r="737" s="884" customFormat="1" ht="12.75"/>
    <row r="738" s="884" customFormat="1" ht="12.75"/>
    <row r="739" s="884" customFormat="1" ht="12.75"/>
    <row r="740" s="884" customFormat="1" ht="12.75"/>
    <row r="741" s="884" customFormat="1" ht="12.75"/>
    <row r="742" s="884" customFormat="1" ht="12.75"/>
    <row r="743" s="884" customFormat="1" ht="12.75"/>
    <row r="744" s="884" customFormat="1" ht="12.75"/>
    <row r="745" s="884" customFormat="1" ht="12.75"/>
    <row r="746" s="884" customFormat="1" ht="12.75"/>
    <row r="747" s="884" customFormat="1" ht="12.75"/>
    <row r="748" s="884" customFormat="1" ht="12.75"/>
    <row r="749" s="884" customFormat="1" ht="12.75"/>
    <row r="750" s="884" customFormat="1" ht="12.75"/>
    <row r="751" s="884" customFormat="1" ht="12.75"/>
    <row r="752" s="884" customFormat="1" ht="12.75"/>
    <row r="753" s="884" customFormat="1" ht="12.75"/>
    <row r="754" s="884" customFormat="1" ht="12.75"/>
    <row r="755" s="884" customFormat="1" ht="12.75"/>
    <row r="756" s="884" customFormat="1" ht="12.75"/>
    <row r="757" s="884" customFormat="1" ht="12.75"/>
    <row r="758" s="884" customFormat="1" ht="12.75"/>
    <row r="759" s="884" customFormat="1" ht="12.75"/>
    <row r="760" s="884" customFormat="1" ht="12.75"/>
    <row r="761" s="884" customFormat="1" ht="12.75"/>
    <row r="762" s="884" customFormat="1" ht="12.75"/>
    <row r="763" s="884" customFormat="1" ht="12.75"/>
    <row r="764" s="884" customFormat="1" ht="12.75"/>
    <row r="765" s="884" customFormat="1" ht="12.75"/>
    <row r="766" s="884" customFormat="1" ht="12.75"/>
    <row r="767" s="884" customFormat="1" ht="12.75"/>
    <row r="768" s="884" customFormat="1" ht="12.75"/>
    <row r="769" s="884" customFormat="1" ht="12.75"/>
    <row r="770" s="884" customFormat="1" ht="12.75"/>
    <row r="771" s="884" customFormat="1" ht="12.75"/>
    <row r="772" s="884" customFormat="1" ht="12.75"/>
    <row r="773" s="884" customFormat="1" ht="12.75"/>
    <row r="774" s="884" customFormat="1" ht="12.75"/>
    <row r="775" s="884" customFormat="1" ht="12.75"/>
    <row r="776" s="884" customFormat="1" ht="12.75"/>
    <row r="777" s="884" customFormat="1" ht="12.75"/>
    <row r="778" s="884" customFormat="1" ht="12.75"/>
    <row r="779" s="884" customFormat="1" ht="12.75"/>
    <row r="780" s="884" customFormat="1" ht="12.75"/>
    <row r="781" s="884" customFormat="1" ht="12.75"/>
    <row r="782" s="884" customFormat="1" ht="12.75"/>
    <row r="783" s="884" customFormat="1" ht="12.75"/>
    <row r="784" s="884" customFormat="1" ht="12.75"/>
    <row r="785" s="884" customFormat="1" ht="12.75"/>
    <row r="786" s="884" customFormat="1" ht="12.75"/>
    <row r="787" s="884" customFormat="1" ht="12.75"/>
    <row r="788" s="884" customFormat="1" ht="12.75"/>
    <row r="789" s="884" customFormat="1" ht="12.75"/>
    <row r="790" s="884" customFormat="1" ht="12.75"/>
    <row r="791" s="884" customFormat="1" ht="12.75"/>
    <row r="792" s="884" customFormat="1" ht="12.75"/>
    <row r="793" s="884" customFormat="1" ht="12.75"/>
    <row r="794" s="884" customFormat="1" ht="12.75"/>
    <row r="795" s="884" customFormat="1" ht="12.75"/>
    <row r="796" s="884" customFormat="1" ht="12.75"/>
    <row r="797" s="884" customFormat="1" ht="12.75"/>
    <row r="798" s="884" customFormat="1" ht="12.75"/>
    <row r="799" s="884" customFormat="1" ht="12.75"/>
    <row r="800" s="884" customFormat="1" ht="12.75"/>
    <row r="801" s="884" customFormat="1" ht="12.75"/>
    <row r="802" s="884" customFormat="1" ht="12.75"/>
    <row r="803" s="884" customFormat="1" ht="12.75"/>
    <row r="804" s="884" customFormat="1" ht="12.75"/>
    <row r="805" s="884" customFormat="1" ht="12.75"/>
    <row r="806" s="884" customFormat="1" ht="12.75"/>
    <row r="807" s="884" customFormat="1" ht="12.75"/>
    <row r="808" s="884" customFormat="1" ht="12.75"/>
    <row r="809" s="884" customFormat="1" ht="12.75"/>
    <row r="810" s="884" customFormat="1" ht="12.75"/>
    <row r="811" s="884" customFormat="1" ht="12.75"/>
    <row r="812" s="884" customFormat="1" ht="12.75"/>
    <row r="813" s="884" customFormat="1" ht="12.75"/>
    <row r="814" s="884" customFormat="1" ht="12.75"/>
    <row r="815" s="884" customFormat="1" ht="12.75"/>
    <row r="816" s="884" customFormat="1" ht="12.75"/>
    <row r="817" s="884" customFormat="1" ht="12.75"/>
    <row r="818" s="884" customFormat="1" ht="12.75"/>
    <row r="819" s="884" customFormat="1" ht="12.75"/>
    <row r="820" s="884" customFormat="1" ht="12.75"/>
    <row r="821" s="884" customFormat="1" ht="12.75"/>
    <row r="822" s="884" customFormat="1" ht="12.75"/>
    <row r="823" s="884" customFormat="1" ht="12.75"/>
    <row r="824" s="884" customFormat="1" ht="12.75"/>
    <row r="825" s="884" customFormat="1" ht="12.75"/>
    <row r="826" s="884" customFormat="1" ht="12.75"/>
    <row r="827" s="884" customFormat="1" ht="12.75"/>
    <row r="828" s="884" customFormat="1" ht="12.75"/>
    <row r="829" s="884" customFormat="1" ht="12.75"/>
    <row r="830" s="884" customFormat="1" ht="12.75"/>
    <row r="831" s="884" customFormat="1" ht="12.75"/>
    <row r="832" s="884" customFormat="1" ht="12.75"/>
    <row r="833" s="884" customFormat="1" ht="12.75"/>
    <row r="834" s="884" customFormat="1" ht="12.75"/>
    <row r="835" s="884" customFormat="1" ht="12.75"/>
    <row r="836" s="884" customFormat="1" ht="12.75"/>
    <row r="837" s="884" customFormat="1" ht="12.75"/>
    <row r="838" s="884" customFormat="1" ht="12.75"/>
    <row r="839" s="884" customFormat="1" ht="12.75"/>
    <row r="840" s="884" customFormat="1" ht="12.75"/>
    <row r="841" s="884" customFormat="1" ht="12.75"/>
    <row r="842" s="884" customFormat="1" ht="12.75"/>
    <row r="843" s="884" customFormat="1" ht="12.75"/>
    <row r="844" s="884" customFormat="1" ht="12.75"/>
    <row r="845" s="884" customFormat="1" ht="12.75"/>
    <row r="846" s="884" customFormat="1" ht="12.75"/>
    <row r="847" s="884" customFormat="1" ht="12.75"/>
    <row r="848" s="884" customFormat="1" ht="12.75"/>
    <row r="849" s="884" customFormat="1" ht="12.75"/>
    <row r="850" s="884" customFormat="1" ht="12.75"/>
    <row r="851" s="884" customFormat="1" ht="12.75"/>
    <row r="852" s="884" customFormat="1" ht="12.75"/>
    <row r="853" s="884" customFormat="1" ht="12.75"/>
    <row r="854" s="884" customFormat="1" ht="12.75"/>
    <row r="855" s="884" customFormat="1" ht="12.75"/>
    <row r="856" s="884" customFormat="1" ht="12.75"/>
    <row r="857" s="884" customFormat="1" ht="12.75"/>
    <row r="858" s="884" customFormat="1" ht="12.75"/>
    <row r="859" s="884" customFormat="1" ht="12.75"/>
    <row r="860" s="884" customFormat="1" ht="12.75"/>
    <row r="861" s="884" customFormat="1" ht="12.75"/>
    <row r="862" s="884" customFormat="1" ht="12.75"/>
    <row r="863" s="884" customFormat="1" ht="12.75"/>
    <row r="864" s="884" customFormat="1" ht="12.75"/>
    <row r="865" s="884" customFormat="1" ht="12.75"/>
    <row r="866" s="884" customFormat="1" ht="12.75"/>
    <row r="867" s="884" customFormat="1" ht="12.75"/>
    <row r="868" s="884" customFormat="1" ht="12.75"/>
    <row r="869" s="884" customFormat="1" ht="12.75"/>
    <row r="870" s="884" customFormat="1" ht="12.75"/>
    <row r="871" s="884" customFormat="1" ht="12.75"/>
    <row r="872" s="884" customFormat="1" ht="12.75"/>
    <row r="873" s="884" customFormat="1" ht="12.75"/>
    <row r="874" s="884" customFormat="1" ht="12.75"/>
    <row r="875" s="884" customFormat="1" ht="12.75"/>
    <row r="876" s="884" customFormat="1" ht="12.75"/>
    <row r="877" s="884" customFormat="1" ht="12.75"/>
    <row r="878" s="884" customFormat="1" ht="12.75"/>
    <row r="879" s="884" customFormat="1" ht="12.75"/>
    <row r="880" s="884" customFormat="1" ht="12.75"/>
    <row r="881" s="884" customFormat="1" ht="12.75"/>
    <row r="882" s="884" customFormat="1" ht="12.75"/>
    <row r="883" s="884" customFormat="1" ht="12.75"/>
    <row r="884" s="884" customFormat="1" ht="12.75"/>
    <row r="885" s="884" customFormat="1" ht="12.75"/>
    <row r="886" s="884" customFormat="1" ht="12.75"/>
    <row r="887" s="884" customFormat="1" ht="12.75"/>
    <row r="888" s="884" customFormat="1" ht="12.75"/>
    <row r="889" s="884" customFormat="1" ht="12.75"/>
    <row r="890" s="884" customFormat="1" ht="12.75"/>
    <row r="891" s="884" customFormat="1" ht="12.75"/>
    <row r="892" s="884" customFormat="1" ht="12.75"/>
    <row r="893" s="884" customFormat="1" ht="12.75"/>
    <row r="894" s="884" customFormat="1" ht="12.75"/>
    <row r="895" s="884" customFormat="1" ht="12.75"/>
    <row r="896" s="884" customFormat="1" ht="12.75"/>
    <row r="897" s="884" customFormat="1" ht="12.75"/>
    <row r="898" s="884" customFormat="1" ht="12.75"/>
    <row r="899" s="884" customFormat="1" ht="12.75"/>
    <row r="900" s="884" customFormat="1" ht="12.75"/>
    <row r="901" s="884" customFormat="1" ht="12.75"/>
    <row r="902" s="884" customFormat="1" ht="12.75"/>
    <row r="903" s="884" customFormat="1" ht="12.75"/>
    <row r="904" s="884" customFormat="1" ht="12.75"/>
    <row r="905" s="884" customFormat="1" ht="12.75"/>
    <row r="906" s="884" customFormat="1" ht="12.75"/>
    <row r="907" s="884" customFormat="1" ht="12.75"/>
    <row r="908" s="884" customFormat="1" ht="12.75"/>
    <row r="909" s="884" customFormat="1" ht="12.75"/>
    <row r="910" s="884" customFormat="1" ht="12.75"/>
    <row r="911" s="884" customFormat="1" ht="12.75"/>
    <row r="912" s="884" customFormat="1" ht="12.75"/>
    <row r="913" s="884" customFormat="1" ht="12.75"/>
    <row r="914" s="884" customFormat="1" ht="12.75"/>
    <row r="915" s="884" customFormat="1" ht="12.75"/>
    <row r="916" s="884" customFormat="1" ht="12.75"/>
    <row r="917" s="884" customFormat="1" ht="12.75"/>
    <row r="918" s="884" customFormat="1" ht="12.75"/>
    <row r="919" s="884" customFormat="1" ht="12.75"/>
    <row r="920" s="884" customFormat="1" ht="12.75"/>
    <row r="921" s="884" customFormat="1" ht="12.75"/>
    <row r="922" s="884" customFormat="1" ht="12.75"/>
    <row r="923" s="884" customFormat="1" ht="12.75"/>
    <row r="924" s="884" customFormat="1" ht="12.75"/>
    <row r="925" s="884" customFormat="1" ht="12.75"/>
    <row r="926" s="884" customFormat="1" ht="12.75"/>
    <row r="927" s="884" customFormat="1" ht="12.75"/>
    <row r="928" s="884" customFormat="1" ht="12.75"/>
    <row r="929" s="884" customFormat="1" ht="12.75"/>
    <row r="930" s="884" customFormat="1" ht="12.75"/>
    <row r="931" s="884" customFormat="1" ht="12.75"/>
    <row r="932" s="884" customFormat="1" ht="12.75"/>
    <row r="933" s="884" customFormat="1" ht="12.75"/>
    <row r="934" s="884" customFormat="1" ht="12.75"/>
    <row r="935" s="884" customFormat="1" ht="12.75"/>
    <row r="936" s="884" customFormat="1" ht="12.75"/>
    <row r="937" s="884" customFormat="1" ht="12.75"/>
    <row r="938" s="884" customFormat="1" ht="12.75"/>
    <row r="939" s="884" customFormat="1" ht="12.75"/>
    <row r="940" s="884" customFormat="1" ht="12.75"/>
    <row r="941" s="884" customFormat="1" ht="12.75"/>
    <row r="942" s="884" customFormat="1" ht="12.75"/>
    <row r="943" s="884" customFormat="1" ht="12.75"/>
    <row r="944" s="884" customFormat="1" ht="12.75"/>
    <row r="945" s="884" customFormat="1" ht="12.75"/>
    <row r="946" s="884" customFormat="1" ht="12.75"/>
    <row r="947" s="884" customFormat="1" ht="12.75"/>
    <row r="948" s="884" customFormat="1" ht="12.75"/>
    <row r="949" s="884" customFormat="1" ht="12.75"/>
    <row r="950" s="884" customFormat="1" ht="12.75"/>
    <row r="951" s="884" customFormat="1" ht="12.75"/>
    <row r="952" s="884" customFormat="1" ht="12.75"/>
    <row r="953" s="884" customFormat="1" ht="12.75"/>
    <row r="954" s="884" customFormat="1" ht="12.75"/>
    <row r="955" s="884" customFormat="1" ht="12.75"/>
    <row r="956" s="884" customFormat="1" ht="12.75"/>
    <row r="957" s="884" customFormat="1" ht="12.75"/>
    <row r="958" s="884" customFormat="1" ht="12.75"/>
    <row r="959" s="884" customFormat="1" ht="12.75"/>
    <row r="960" s="884" customFormat="1" ht="12.75"/>
    <row r="961" s="884" customFormat="1" ht="12.75"/>
    <row r="962" s="884" customFormat="1" ht="12.75"/>
    <row r="963" s="884" customFormat="1" ht="12.75"/>
    <row r="964" s="884" customFormat="1" ht="12.75"/>
    <row r="965" s="884" customFormat="1" ht="12.75"/>
    <row r="966" s="884" customFormat="1" ht="12.75"/>
    <row r="967" s="884" customFormat="1" ht="12.75"/>
    <row r="968" s="884" customFormat="1" ht="12.75"/>
    <row r="969" s="884" customFormat="1" ht="12.75"/>
    <row r="970" s="884" customFormat="1" ht="12.75"/>
    <row r="971" s="884" customFormat="1" ht="12.75"/>
    <row r="972" s="884" customFormat="1" ht="12.75"/>
    <row r="973" s="884" customFormat="1" ht="12.75"/>
    <row r="974" s="884" customFormat="1" ht="12.75"/>
    <row r="975" s="884" customFormat="1" ht="12.75"/>
    <row r="976" s="884" customFormat="1" ht="12.75"/>
    <row r="977" s="884" customFormat="1" ht="12.75"/>
    <row r="978" s="884" customFormat="1" ht="12.75"/>
    <row r="979" s="884" customFormat="1" ht="12.75"/>
    <row r="980" s="884" customFormat="1" ht="12.75"/>
    <row r="981" s="884" customFormat="1" ht="12.75"/>
    <row r="982" s="884" customFormat="1" ht="12.75"/>
    <row r="983" s="884" customFormat="1" ht="12.75"/>
    <row r="984" s="884" customFormat="1" ht="12.75"/>
    <row r="985" s="884" customFormat="1" ht="12.75"/>
    <row r="986" s="884" customFormat="1" ht="12.75"/>
    <row r="987" s="884" customFormat="1" ht="12.75"/>
    <row r="988" s="884" customFormat="1" ht="12.75"/>
    <row r="989" s="884" customFormat="1" ht="12.75"/>
    <row r="990" s="884" customFormat="1" ht="12.75"/>
    <row r="991" s="884" customFormat="1" ht="12.75"/>
    <row r="992" s="884" customFormat="1" ht="12.75"/>
    <row r="993" s="884" customFormat="1" ht="12.75"/>
    <row r="994" s="884" customFormat="1" ht="12.75"/>
    <row r="995" s="884" customFormat="1" ht="12.75"/>
    <row r="996" s="884" customFormat="1" ht="12.75"/>
    <row r="997" s="884" customFormat="1" ht="12.75"/>
    <row r="998" s="884" customFormat="1" ht="12.75"/>
    <row r="999" s="884" customFormat="1" ht="12.75"/>
    <row r="1000" s="884" customFormat="1" ht="12.75"/>
    <row r="1001" s="884" customFormat="1" ht="12.75"/>
    <row r="1002" s="884" customFormat="1" ht="12.75"/>
    <row r="1003" s="884" customFormat="1" ht="12.75"/>
    <row r="1004" s="884" customFormat="1" ht="12.75"/>
    <row r="1005" s="884" customFormat="1" ht="12.75"/>
    <row r="1006" s="884" customFormat="1" ht="12.75"/>
    <row r="1007" s="884" customFormat="1" ht="12.75"/>
    <row r="1008" s="884" customFormat="1" ht="12.75"/>
    <row r="1009" s="884" customFormat="1" ht="12.75"/>
    <row r="1010" s="884" customFormat="1" ht="12.75"/>
    <row r="1011" s="884" customFormat="1" ht="12.75"/>
    <row r="1012" s="884" customFormat="1" ht="12.75"/>
    <row r="1013" s="884" customFormat="1" ht="12.75"/>
    <row r="1014" s="884" customFormat="1" ht="12.75"/>
    <row r="1015" s="884" customFormat="1" ht="12.75"/>
    <row r="1016" s="884" customFormat="1" ht="12.75"/>
    <row r="1017" s="884" customFormat="1" ht="12.75"/>
    <row r="1018" s="884" customFormat="1" ht="12.75"/>
    <row r="1019" s="884" customFormat="1" ht="12.75"/>
    <row r="1020" s="884" customFormat="1" ht="12.75"/>
    <row r="1021" s="884" customFormat="1" ht="12.75"/>
    <row r="1022" s="884" customFormat="1" ht="12.75"/>
    <row r="1023" s="884" customFormat="1" ht="12.75"/>
    <row r="1024" s="884" customFormat="1" ht="12.75"/>
    <row r="1025" s="884" customFormat="1" ht="12.75"/>
    <row r="1026" s="884" customFormat="1" ht="12.75"/>
    <row r="1027" s="884" customFormat="1" ht="12.75"/>
    <row r="1028" s="884" customFormat="1" ht="12.75"/>
    <row r="1029" s="884" customFormat="1" ht="12.75"/>
    <row r="1030" s="884" customFormat="1" ht="12.75"/>
    <row r="1031" s="884" customFormat="1" ht="12.75"/>
    <row r="1032" s="884" customFormat="1" ht="12.75"/>
    <row r="1033" s="884" customFormat="1" ht="12.75"/>
    <row r="1034" s="884" customFormat="1" ht="12.75"/>
    <row r="1035" s="884" customFormat="1" ht="12.75"/>
    <row r="1036" s="884" customFormat="1" ht="12.75"/>
    <row r="1037" s="884" customFormat="1" ht="12.75"/>
    <row r="1038" s="884" customFormat="1" ht="12.75"/>
    <row r="1039" s="884" customFormat="1" ht="12.75"/>
    <row r="1040" s="884" customFormat="1" ht="12.75"/>
    <row r="1041" s="884" customFormat="1" ht="12.75"/>
    <row r="1042" s="884" customFormat="1" ht="12.75"/>
    <row r="1043" s="884" customFormat="1" ht="12.75"/>
    <row r="1044" s="884" customFormat="1" ht="12.75"/>
    <row r="1045" s="884" customFormat="1" ht="12.75"/>
    <row r="1046" s="884" customFormat="1" ht="12.75"/>
    <row r="1047" s="884" customFormat="1" ht="12.75"/>
    <row r="1048" s="884" customFormat="1" ht="12.75"/>
    <row r="1049" s="884" customFormat="1" ht="12.75"/>
    <row r="1050" s="884" customFormat="1" ht="12.75"/>
    <row r="1051" s="884" customFormat="1" ht="12.75"/>
    <row r="1052" s="884" customFormat="1" ht="12.75"/>
    <row r="1053" s="884" customFormat="1" ht="12.75"/>
    <row r="1054" s="884" customFormat="1" ht="12.75"/>
    <row r="1055" s="884" customFormat="1" ht="12.75"/>
    <row r="1056" s="884" customFormat="1" ht="12.75"/>
    <row r="1057" s="884" customFormat="1" ht="12.75"/>
    <row r="1058" s="884" customFormat="1" ht="12.75"/>
    <row r="1059" s="884" customFormat="1" ht="12.75"/>
    <row r="1060" s="884" customFormat="1" ht="12.75"/>
    <row r="1061" s="884" customFormat="1" ht="12.75"/>
    <row r="1062" s="884" customFormat="1" ht="12.75"/>
    <row r="1063" s="884" customFormat="1" ht="12.75"/>
    <row r="1064" s="884" customFormat="1" ht="12.75"/>
    <row r="1065" s="884" customFormat="1" ht="12.75"/>
    <row r="1066" s="884" customFormat="1" ht="12.75"/>
    <row r="1067" s="884" customFormat="1" ht="12.75"/>
    <row r="1068" s="884" customFormat="1" ht="12.75"/>
    <row r="1069" s="884" customFormat="1" ht="12.75"/>
    <row r="1070" s="884" customFormat="1" ht="12.75"/>
    <row r="1071" s="884" customFormat="1" ht="12.75"/>
    <row r="1072" s="884" customFormat="1" ht="12.75"/>
    <row r="1073" s="884" customFormat="1" ht="12.75"/>
    <row r="1074" s="884" customFormat="1" ht="12.75"/>
    <row r="1075" s="884" customFormat="1" ht="12.75"/>
    <row r="1076" s="884" customFormat="1" ht="12.75"/>
    <row r="1077" s="884" customFormat="1" ht="12.75"/>
    <row r="1078" s="884" customFormat="1" ht="12.75"/>
    <row r="1079" s="884" customFormat="1" ht="12.75"/>
    <row r="1080" s="884" customFormat="1" ht="12.75"/>
    <row r="1081" s="884" customFormat="1" ht="12.75"/>
    <row r="1082" s="884" customFormat="1" ht="12.75"/>
    <row r="1083" s="884" customFormat="1" ht="12.75"/>
    <row r="1084" s="884" customFormat="1" ht="12.75"/>
    <row r="1085" s="884" customFormat="1" ht="12.75"/>
    <row r="1086" s="884" customFormat="1" ht="12.75"/>
    <row r="1087" s="884" customFormat="1" ht="12.75"/>
    <row r="1088" s="884" customFormat="1" ht="12.75"/>
    <row r="1089" s="884" customFormat="1" ht="12.75"/>
    <row r="1090" s="884" customFormat="1" ht="12.75"/>
    <row r="1091" s="884" customFormat="1" ht="12.75"/>
    <row r="1092" s="884" customFormat="1" ht="12.75"/>
    <row r="1093" s="884" customFormat="1" ht="12.75"/>
    <row r="1094" s="884" customFormat="1" ht="12.75"/>
    <row r="1095" s="884" customFormat="1" ht="12.75"/>
    <row r="1096" s="884" customFormat="1" ht="12.75"/>
    <row r="1097" s="884" customFormat="1" ht="12.75"/>
    <row r="1098" s="884" customFormat="1" ht="12.75"/>
    <row r="1099" s="884" customFormat="1" ht="12.75"/>
    <row r="1100" s="884" customFormat="1" ht="12.75"/>
    <row r="1101" s="884" customFormat="1" ht="12.75"/>
    <row r="1102" s="884" customFormat="1" ht="12.75"/>
    <row r="1103" s="884" customFormat="1" ht="12.75"/>
    <row r="1104" s="884" customFormat="1" ht="12.75"/>
    <row r="1105" s="884" customFormat="1" ht="12.75"/>
    <row r="1106" s="884" customFormat="1" ht="12.75"/>
    <row r="1107" s="884" customFormat="1" ht="12.75"/>
    <row r="1108" s="884" customFormat="1" ht="12.75"/>
    <row r="1109" s="884" customFormat="1" ht="12.75"/>
    <row r="1110" s="884" customFormat="1" ht="12.75"/>
    <row r="1111" s="884" customFormat="1" ht="12.75"/>
    <row r="1112" s="884" customFormat="1" ht="12.75"/>
    <row r="1113" s="884" customFormat="1" ht="12.75"/>
    <row r="1114" s="884" customFormat="1" ht="12.75"/>
    <row r="1115" s="884" customFormat="1" ht="12.75"/>
    <row r="1116" s="884" customFormat="1" ht="12.75"/>
    <row r="1117" s="884" customFormat="1" ht="12.75"/>
    <row r="1118" s="884" customFormat="1" ht="12.75"/>
    <row r="1119" s="884" customFormat="1" ht="12.75"/>
    <row r="1120" s="884" customFormat="1" ht="12.75"/>
    <row r="1121" s="884" customFormat="1" ht="12.75"/>
    <row r="1122" s="884" customFormat="1" ht="12.75"/>
    <row r="1123" s="884" customFormat="1" ht="12.75"/>
    <row r="1124" s="884" customFormat="1" ht="12.75"/>
    <row r="1125" s="884" customFormat="1" ht="12.75"/>
    <row r="1126" s="884" customFormat="1" ht="12.75"/>
    <row r="1127" s="884" customFormat="1" ht="12.75"/>
    <row r="1128" s="884" customFormat="1" ht="12.75"/>
    <row r="1129" s="884" customFormat="1" ht="12.75"/>
    <row r="1130" s="884" customFormat="1" ht="12.75"/>
    <row r="1131" s="884" customFormat="1" ht="12.75"/>
    <row r="1132" s="884" customFormat="1" ht="12.75"/>
    <row r="1133" s="884" customFormat="1" ht="12.75"/>
    <row r="1134" s="884" customFormat="1" ht="12.75"/>
    <row r="1135" s="884" customFormat="1" ht="12.75"/>
    <row r="1136" s="884" customFormat="1" ht="12.75"/>
    <row r="1137" s="884" customFormat="1" ht="12.75"/>
    <row r="1138" s="884" customFormat="1" ht="12.75"/>
    <row r="1139" s="884" customFormat="1" ht="12.75"/>
    <row r="1140" s="884" customFormat="1" ht="12.75"/>
    <row r="1141" s="884" customFormat="1" ht="12.75"/>
    <row r="1142" s="884" customFormat="1" ht="12.75"/>
    <row r="1143" s="884" customFormat="1" ht="12.75"/>
    <row r="1144" s="884" customFormat="1" ht="12.75"/>
    <row r="1145" s="884" customFormat="1" ht="12.75"/>
    <row r="1146" s="884" customFormat="1" ht="12.75"/>
    <row r="1147" s="884" customFormat="1" ht="12.75"/>
    <row r="1148" s="884" customFormat="1" ht="12.75"/>
    <row r="1149" s="884" customFormat="1" ht="12.75"/>
    <row r="1150" s="884" customFormat="1" ht="12.75"/>
    <row r="1151" s="884" customFormat="1" ht="12.75"/>
    <row r="1152" s="884" customFormat="1" ht="12.75"/>
    <row r="1153" s="884" customFormat="1" ht="12.75"/>
    <row r="1154" s="884" customFormat="1" ht="12.75"/>
    <row r="1155" s="884" customFormat="1" ht="12.75"/>
    <row r="1156" s="884" customFormat="1" ht="12.75"/>
    <row r="1157" s="884" customFormat="1" ht="12.75"/>
    <row r="1158" s="884" customFormat="1" ht="12.75"/>
    <row r="1159" s="884" customFormat="1" ht="12.75"/>
    <row r="1160" s="884" customFormat="1" ht="12.75"/>
    <row r="1161" s="884" customFormat="1" ht="12.75"/>
    <row r="1162" s="884" customFormat="1" ht="12.75"/>
    <row r="1163" s="884" customFormat="1" ht="12.75"/>
    <row r="1164" s="884" customFormat="1" ht="12.75"/>
    <row r="1165" s="884" customFormat="1" ht="12.75"/>
    <row r="1166" s="884" customFormat="1" ht="12.75"/>
    <row r="1167" s="884" customFormat="1" ht="12.75"/>
    <row r="1168" s="884" customFormat="1" ht="12.75"/>
    <row r="1169" s="884" customFormat="1" ht="12.75"/>
    <row r="1170" s="884" customFormat="1" ht="12.75"/>
    <row r="1171" s="884" customFormat="1" ht="12.75"/>
    <row r="1172" s="884" customFormat="1" ht="12.75"/>
    <row r="1173" s="884" customFormat="1" ht="12.75"/>
    <row r="1174" s="884" customFormat="1" ht="12.75"/>
    <row r="1175" s="884" customFormat="1" ht="12.75"/>
    <row r="1176" s="884" customFormat="1" ht="12.75"/>
    <row r="1177" s="884" customFormat="1" ht="12.75"/>
    <row r="1178" s="884" customFormat="1" ht="12.75"/>
    <row r="1179" s="884" customFormat="1" ht="12.75"/>
    <row r="1180" s="884" customFormat="1" ht="12.75"/>
    <row r="1181" s="884" customFormat="1" ht="12.75"/>
    <row r="1182" s="884" customFormat="1" ht="12.75"/>
    <row r="1183" s="884" customFormat="1" ht="12.75"/>
    <row r="1184" s="884" customFormat="1" ht="12.75"/>
    <row r="1185" s="884" customFormat="1" ht="12.75"/>
    <row r="1186" s="884" customFormat="1" ht="12.75"/>
    <row r="1187" s="884" customFormat="1" ht="12.75"/>
    <row r="1188" s="884" customFormat="1" ht="12.75"/>
    <row r="1189" s="884" customFormat="1" ht="12.75"/>
    <row r="1190" s="884" customFormat="1" ht="12.75"/>
    <row r="1191" s="884" customFormat="1" ht="12.75"/>
    <row r="1192" s="884" customFormat="1" ht="12.75"/>
    <row r="1193" s="884" customFormat="1" ht="12.75"/>
    <row r="1194" s="884" customFormat="1" ht="12.75"/>
    <row r="1195" s="884" customFormat="1" ht="12.75"/>
    <row r="1196" s="884" customFormat="1" ht="12.75"/>
    <row r="1197" s="884" customFormat="1" ht="12.75"/>
    <row r="1198" s="884" customFormat="1" ht="12.75"/>
    <row r="1199" s="884" customFormat="1" ht="12.75"/>
    <row r="1200" s="884" customFormat="1" ht="12.75"/>
    <row r="1201" s="884" customFormat="1" ht="12.75"/>
    <row r="1202" s="884" customFormat="1" ht="12.75"/>
    <row r="1203" s="884" customFormat="1" ht="12.75"/>
    <row r="1204" s="884" customFormat="1" ht="12.75"/>
    <row r="1205" s="884" customFormat="1" ht="12.75"/>
    <row r="1206" s="884" customFormat="1" ht="12.75"/>
    <row r="1207" s="884" customFormat="1" ht="12.75"/>
    <row r="1208" s="884" customFormat="1" ht="12.75"/>
    <row r="1209" s="884" customFormat="1" ht="12.75"/>
    <row r="1210" s="884" customFormat="1" ht="12.75"/>
    <row r="1211" s="884" customFormat="1" ht="12.75"/>
    <row r="1212" s="884" customFormat="1" ht="12.75"/>
    <row r="1213" s="884" customFormat="1" ht="12.75"/>
    <row r="1214" s="884" customFormat="1" ht="12.75"/>
    <row r="1215" s="884" customFormat="1" ht="12.75"/>
    <row r="1216" s="884" customFormat="1" ht="12.75"/>
    <row r="1217" s="884" customFormat="1" ht="12.75"/>
    <row r="1218" s="884" customFormat="1" ht="12.75"/>
    <row r="1219" s="884" customFormat="1" ht="12.75"/>
    <row r="1220" s="884" customFormat="1" ht="12.75"/>
    <row r="1221" s="884" customFormat="1" ht="12.75"/>
    <row r="1222" s="884" customFormat="1" ht="12.75"/>
    <row r="1223" s="884" customFormat="1" ht="12.75"/>
    <row r="1224" s="884" customFormat="1" ht="12.75"/>
    <row r="1225" s="884" customFormat="1" ht="12.75"/>
    <row r="1226" s="884" customFormat="1" ht="12.75"/>
    <row r="1227" s="884" customFormat="1" ht="12.75"/>
    <row r="1228" s="884" customFormat="1" ht="12.75"/>
    <row r="1229" s="884" customFormat="1" ht="12.75"/>
    <row r="1230" s="884" customFormat="1" ht="12.75"/>
    <row r="1231" s="884" customFormat="1" ht="12.75"/>
    <row r="1232" s="884" customFormat="1" ht="12.75"/>
    <row r="1233" s="884" customFormat="1" ht="12.75"/>
    <row r="1234" s="884" customFormat="1" ht="12.75"/>
    <row r="1235" s="884" customFormat="1" ht="12.75"/>
    <row r="1236" s="884" customFormat="1" ht="12.75"/>
    <row r="1237" s="884" customFormat="1" ht="12.75"/>
    <row r="1238" s="884" customFormat="1" ht="12.75"/>
    <row r="1239" s="884" customFormat="1" ht="12.75"/>
    <row r="1240" s="884" customFormat="1" ht="12.75"/>
    <row r="1241" s="884" customFormat="1" ht="12.75"/>
    <row r="1242" s="884" customFormat="1" ht="12.75"/>
  </sheetData>
  <sheetProtection/>
  <mergeCells count="14">
    <mergeCell ref="A21:B21"/>
    <mergeCell ref="Y4:AA4"/>
    <mergeCell ref="A6:AA6"/>
    <mergeCell ref="A16:AA16"/>
    <mergeCell ref="A26:AA26"/>
    <mergeCell ref="P4:R4"/>
    <mergeCell ref="S4:U4"/>
    <mergeCell ref="V4:X4"/>
    <mergeCell ref="A4:C5"/>
    <mergeCell ref="D4:F4"/>
    <mergeCell ref="G4:I4"/>
    <mergeCell ref="J4:L4"/>
    <mergeCell ref="M4:O4"/>
    <mergeCell ref="A11:B11"/>
  </mergeCells>
  <printOptions/>
  <pageMargins left="0.5" right="0.25" top="0.82" bottom="0.33" header="0.51" footer="0.17"/>
  <pageSetup horizontalDpi="300" verticalDpi="300" orientation="landscape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3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A29" sqref="AA29"/>
    </sheetView>
  </sheetViews>
  <sheetFormatPr defaultColWidth="9.140625" defaultRowHeight="12.75"/>
  <cols>
    <col min="1" max="1" width="9.140625" style="804" customWidth="1"/>
    <col min="2" max="2" width="9.8515625" style="804" customWidth="1"/>
    <col min="3" max="3" width="9.7109375" style="804" customWidth="1"/>
    <col min="4" max="9" width="9.140625" style="804" hidden="1" customWidth="1"/>
    <col min="10" max="17" width="11.7109375" style="804" hidden="1" customWidth="1"/>
    <col min="18" max="18" width="9.8515625" style="804" hidden="1" customWidth="1"/>
    <col min="19" max="20" width="11.57421875" style="804" customWidth="1"/>
    <col min="21" max="24" width="9.8515625" style="804" customWidth="1"/>
    <col min="25" max="26" width="11.7109375" style="804" customWidth="1"/>
    <col min="27" max="28" width="9.8515625" style="804" customWidth="1"/>
    <col min="29" max="16384" width="9.140625" style="804" customWidth="1"/>
  </cols>
  <sheetData>
    <row r="1" spans="1:31" ht="15.75">
      <c r="A1" s="801" t="s">
        <v>426</v>
      </c>
      <c r="B1" s="885"/>
      <c r="C1" s="885"/>
      <c r="D1" s="885"/>
      <c r="E1" s="885"/>
      <c r="F1" s="885"/>
      <c r="G1" s="885"/>
      <c r="H1" s="885"/>
      <c r="I1" s="885"/>
      <c r="J1" s="885"/>
      <c r="K1" s="803"/>
      <c r="L1" s="803"/>
      <c r="M1" s="803"/>
      <c r="N1" s="803"/>
      <c r="O1" s="803"/>
      <c r="P1" s="803"/>
      <c r="Q1" s="803"/>
      <c r="R1" s="803"/>
      <c r="S1" s="803"/>
      <c r="T1" s="803"/>
      <c r="U1" s="803"/>
      <c r="V1" s="803"/>
      <c r="W1" s="803"/>
      <c r="X1" s="803"/>
      <c r="Y1" s="803"/>
      <c r="Z1" s="803"/>
      <c r="AA1" s="803"/>
      <c r="AB1" s="803"/>
      <c r="AC1" s="803"/>
      <c r="AD1" s="885"/>
      <c r="AE1" s="885"/>
    </row>
    <row r="2" spans="1:31" ht="15.75">
      <c r="A2" s="885"/>
      <c r="B2" s="885"/>
      <c r="C2" s="885"/>
      <c r="D2" s="885"/>
      <c r="E2" s="885"/>
      <c r="F2" s="885"/>
      <c r="G2" s="885"/>
      <c r="H2" s="885"/>
      <c r="I2" s="885"/>
      <c r="J2" s="885"/>
      <c r="K2" s="803"/>
      <c r="L2" s="803"/>
      <c r="M2" s="803"/>
      <c r="N2" s="803"/>
      <c r="O2" s="803"/>
      <c r="P2" s="803"/>
      <c r="Q2" s="803"/>
      <c r="R2" s="803"/>
      <c r="S2" s="803"/>
      <c r="T2" s="803"/>
      <c r="U2" s="803"/>
      <c r="V2" s="803"/>
      <c r="W2" s="803"/>
      <c r="X2" s="803"/>
      <c r="Y2" s="803"/>
      <c r="Z2" s="803"/>
      <c r="AA2" s="803"/>
      <c r="AB2" s="803"/>
      <c r="AC2" s="803"/>
      <c r="AD2" s="885"/>
      <c r="AE2" s="885"/>
    </row>
    <row r="3" spans="1:31" ht="16.5" thickBot="1">
      <c r="A3" s="805" t="s">
        <v>199</v>
      </c>
      <c r="B3" s="801"/>
      <c r="C3" s="801"/>
      <c r="D3" s="801"/>
      <c r="E3" s="801"/>
      <c r="F3" s="801"/>
      <c r="G3" s="801"/>
      <c r="H3" s="801"/>
      <c r="I3" s="801"/>
      <c r="J3" s="801"/>
      <c r="K3" s="801"/>
      <c r="L3" s="801"/>
      <c r="M3" s="801"/>
      <c r="N3" s="801"/>
      <c r="O3" s="801"/>
      <c r="P3" s="801"/>
      <c r="Q3" s="801"/>
      <c r="R3" s="801"/>
      <c r="S3" s="801"/>
      <c r="T3" s="801"/>
      <c r="U3" s="801"/>
      <c r="V3" s="801"/>
      <c r="W3" s="801"/>
      <c r="X3" s="801"/>
      <c r="Y3" s="801"/>
      <c r="Z3" s="801"/>
      <c r="AA3" s="801"/>
      <c r="AB3" s="459"/>
      <c r="AC3" s="801"/>
      <c r="AD3" s="801"/>
      <c r="AE3" s="801"/>
    </row>
    <row r="4" spans="1:31" ht="18.75" customHeight="1">
      <c r="A4" s="1528" t="s">
        <v>211</v>
      </c>
      <c r="B4" s="1529"/>
      <c r="C4" s="1530"/>
      <c r="D4" s="886">
        <v>2001</v>
      </c>
      <c r="E4" s="887"/>
      <c r="F4" s="888"/>
      <c r="G4" s="886">
        <v>2002</v>
      </c>
      <c r="H4" s="887"/>
      <c r="I4" s="888"/>
      <c r="J4" s="886">
        <v>2003</v>
      </c>
      <c r="K4" s="887"/>
      <c r="L4" s="887"/>
      <c r="M4" s="1524">
        <v>2004</v>
      </c>
      <c r="N4" s="1508"/>
      <c r="O4" s="1534"/>
      <c r="P4" s="1524">
        <v>2005</v>
      </c>
      <c r="Q4" s="1508"/>
      <c r="R4" s="1534"/>
      <c r="S4" s="1524">
        <v>2006</v>
      </c>
      <c r="T4" s="1508"/>
      <c r="U4" s="1509"/>
      <c r="V4" s="1524">
        <v>2007</v>
      </c>
      <c r="W4" s="1508"/>
      <c r="X4" s="1509"/>
      <c r="Y4" s="1524">
        <v>2008</v>
      </c>
      <c r="Z4" s="1508"/>
      <c r="AA4" s="1509"/>
      <c r="AB4" s="889"/>
      <c r="AC4" s="874"/>
      <c r="AD4" s="874"/>
      <c r="AE4" s="874"/>
    </row>
    <row r="5" spans="1:31" ht="30">
      <c r="A5" s="1531"/>
      <c r="B5" s="1532"/>
      <c r="C5" s="1533"/>
      <c r="D5" s="890" t="s">
        <v>130</v>
      </c>
      <c r="E5" s="812" t="s">
        <v>212</v>
      </c>
      <c r="F5" s="891" t="s">
        <v>213</v>
      </c>
      <c r="G5" s="890" t="s">
        <v>130</v>
      </c>
      <c r="H5" s="812" t="s">
        <v>131</v>
      </c>
      <c r="I5" s="891" t="s">
        <v>214</v>
      </c>
      <c r="J5" s="890" t="s">
        <v>130</v>
      </c>
      <c r="K5" s="812" t="s">
        <v>131</v>
      </c>
      <c r="L5" s="892" t="s">
        <v>214</v>
      </c>
      <c r="M5" s="890" t="s">
        <v>130</v>
      </c>
      <c r="N5" s="812" t="s">
        <v>131</v>
      </c>
      <c r="O5" s="892" t="s">
        <v>214</v>
      </c>
      <c r="P5" s="890" t="s">
        <v>130</v>
      </c>
      <c r="Q5" s="812" t="s">
        <v>131</v>
      </c>
      <c r="R5" s="892" t="s">
        <v>214</v>
      </c>
      <c r="S5" s="890" t="s">
        <v>130</v>
      </c>
      <c r="T5" s="812" t="s">
        <v>131</v>
      </c>
      <c r="U5" s="891" t="s">
        <v>214</v>
      </c>
      <c r="V5" s="890" t="s">
        <v>130</v>
      </c>
      <c r="W5" s="812" t="s">
        <v>131</v>
      </c>
      <c r="X5" s="891" t="s">
        <v>214</v>
      </c>
      <c r="Y5" s="890" t="s">
        <v>130</v>
      </c>
      <c r="Z5" s="812" t="s">
        <v>131</v>
      </c>
      <c r="AA5" s="891" t="s">
        <v>214</v>
      </c>
      <c r="AB5" s="889"/>
      <c r="AC5" s="874"/>
      <c r="AD5" s="874"/>
      <c r="AE5" s="874"/>
    </row>
    <row r="6" spans="1:31" ht="22.5" customHeight="1">
      <c r="A6" s="1521" t="s">
        <v>105</v>
      </c>
      <c r="B6" s="1522"/>
      <c r="C6" s="1522"/>
      <c r="D6" s="1522"/>
      <c r="E6" s="1522"/>
      <c r="F6" s="1522"/>
      <c r="G6" s="1522"/>
      <c r="H6" s="1522"/>
      <c r="I6" s="1522"/>
      <c r="J6" s="1522"/>
      <c r="K6" s="1522"/>
      <c r="L6" s="1522"/>
      <c r="M6" s="1522"/>
      <c r="N6" s="1522"/>
      <c r="O6" s="1522"/>
      <c r="P6" s="1522"/>
      <c r="Q6" s="1522"/>
      <c r="R6" s="1522"/>
      <c r="S6" s="1522"/>
      <c r="T6" s="1522"/>
      <c r="U6" s="1522"/>
      <c r="V6" s="1522"/>
      <c r="W6" s="1522"/>
      <c r="X6" s="1522"/>
      <c r="Y6" s="1522"/>
      <c r="Z6" s="1522"/>
      <c r="AA6" s="1523"/>
      <c r="AB6" s="889"/>
      <c r="AC6" s="874"/>
      <c r="AD6" s="874"/>
      <c r="AE6" s="874"/>
    </row>
    <row r="7" spans="1:31" ht="16.5" customHeight="1">
      <c r="A7" s="814"/>
      <c r="B7" s="815"/>
      <c r="C7" s="893" t="s">
        <v>5</v>
      </c>
      <c r="D7" s="894">
        <v>6796</v>
      </c>
      <c r="E7" s="895">
        <v>4974</v>
      </c>
      <c r="F7" s="896">
        <f>E7/D7*100</f>
        <v>73.19011183048852</v>
      </c>
      <c r="G7" s="894">
        <v>6845</v>
      </c>
      <c r="H7" s="895">
        <v>5189</v>
      </c>
      <c r="I7" s="896">
        <f>H7/G7*100</f>
        <v>75.80715850986121</v>
      </c>
      <c r="J7" s="897">
        <f>J8+J9</f>
        <v>7205</v>
      </c>
      <c r="K7" s="898">
        <f>K8+K9</f>
        <v>5411</v>
      </c>
      <c r="L7" s="899">
        <f>K7/J7*100</f>
        <v>75.10062456627342</v>
      </c>
      <c r="M7" s="894">
        <f>M8+M9</f>
        <v>6883</v>
      </c>
      <c r="N7" s="898">
        <f>N8+N9</f>
        <v>5245</v>
      </c>
      <c r="O7" s="899">
        <f>N7/M7*100</f>
        <v>76.2022373964841</v>
      </c>
      <c r="P7" s="900">
        <f>P8+P9</f>
        <v>7274</v>
      </c>
      <c r="Q7" s="901">
        <f>Q8+Q9</f>
        <v>5686</v>
      </c>
      <c r="R7" s="899">
        <f>Q7/P7*100</f>
        <v>78.16882045642014</v>
      </c>
      <c r="S7" s="900">
        <f>S8+S9</f>
        <v>8040</v>
      </c>
      <c r="T7" s="901">
        <f>T8+T9</f>
        <v>6376</v>
      </c>
      <c r="U7" s="902">
        <f>T7/S7*100</f>
        <v>79.30348258706468</v>
      </c>
      <c r="V7" s="900">
        <f>V8+V9</f>
        <v>8517</v>
      </c>
      <c r="W7" s="901">
        <f>W8+W9</f>
        <v>6622</v>
      </c>
      <c r="X7" s="902">
        <f>W7/V7*100</f>
        <v>77.75038158976166</v>
      </c>
      <c r="Y7" s="900">
        <f>Y8+Y9</f>
        <v>8907</v>
      </c>
      <c r="Z7" s="901">
        <f>Z8+Z9</f>
        <v>7011</v>
      </c>
      <c r="AA7" s="902">
        <f>Z7/Y7*100</f>
        <v>78.71337150555743</v>
      </c>
      <c r="AB7" s="889"/>
      <c r="AC7" s="874"/>
      <c r="AD7" s="874"/>
      <c r="AE7" s="874"/>
    </row>
    <row r="8" spans="1:31" ht="16.5" customHeight="1">
      <c r="A8" s="821" t="s">
        <v>205</v>
      </c>
      <c r="B8" s="822"/>
      <c r="C8" s="893" t="s">
        <v>43</v>
      </c>
      <c r="D8" s="894">
        <v>3181</v>
      </c>
      <c r="E8" s="895">
        <v>2228</v>
      </c>
      <c r="F8" s="896">
        <f>E8/D8*100</f>
        <v>70.04086765168186</v>
      </c>
      <c r="G8" s="894">
        <v>3163</v>
      </c>
      <c r="H8" s="895">
        <v>2338</v>
      </c>
      <c r="I8" s="896">
        <f>H8/G8*100</f>
        <v>73.91716724628517</v>
      </c>
      <c r="J8" s="897">
        <f>J18+J28</f>
        <v>3307</v>
      </c>
      <c r="K8" s="898">
        <f>K18+K28</f>
        <v>2346</v>
      </c>
      <c r="L8" s="899">
        <f>K8/J8*100</f>
        <v>70.94042939219837</v>
      </c>
      <c r="M8" s="894">
        <f>M18+M28</f>
        <v>3209</v>
      </c>
      <c r="N8" s="898">
        <f>N18+N28</f>
        <v>2328</v>
      </c>
      <c r="O8" s="899">
        <f>N8/M8*100</f>
        <v>72.5459644749143</v>
      </c>
      <c r="P8" s="903">
        <f>P18+P28</f>
        <v>3301</v>
      </c>
      <c r="Q8" s="904">
        <f>Q18+Q28</f>
        <v>2430</v>
      </c>
      <c r="R8" s="899">
        <f>Q8/P8*100</f>
        <v>73.61405634656165</v>
      </c>
      <c r="S8" s="903">
        <f>S18+S28</f>
        <v>3698</v>
      </c>
      <c r="T8" s="904">
        <f>T18+T28</f>
        <v>2769</v>
      </c>
      <c r="U8" s="896">
        <f>T8/S8*100</f>
        <v>74.87831260140617</v>
      </c>
      <c r="V8" s="903">
        <f>V18+V28</f>
        <v>3896</v>
      </c>
      <c r="W8" s="904">
        <f>W18+W28</f>
        <v>2842</v>
      </c>
      <c r="X8" s="896">
        <f>W8/V8*100</f>
        <v>72.94661190965093</v>
      </c>
      <c r="Y8" s="903">
        <f>Y18+Y28</f>
        <v>3999</v>
      </c>
      <c r="Z8" s="904">
        <f>Z18+Z28</f>
        <v>2976</v>
      </c>
      <c r="AA8" s="896">
        <f>Z8/Y8*100</f>
        <v>74.4186046511628</v>
      </c>
      <c r="AB8" s="889"/>
      <c r="AC8" s="874"/>
      <c r="AD8" s="874"/>
      <c r="AE8" s="874"/>
    </row>
    <row r="9" spans="1:31" ht="16.5" customHeight="1">
      <c r="A9" s="824" t="s">
        <v>102</v>
      </c>
      <c r="B9" s="825"/>
      <c r="C9" s="905" t="s">
        <v>44</v>
      </c>
      <c r="D9" s="906">
        <v>3615</v>
      </c>
      <c r="E9" s="907">
        <v>2746</v>
      </c>
      <c r="F9" s="908">
        <f>E9/D9*100</f>
        <v>75.9612724757953</v>
      </c>
      <c r="G9" s="906">
        <v>3682</v>
      </c>
      <c r="H9" s="907">
        <v>2851</v>
      </c>
      <c r="I9" s="908">
        <f>H9/G9*100</f>
        <v>77.43074416078218</v>
      </c>
      <c r="J9" s="909">
        <f>J19+J29</f>
        <v>3898</v>
      </c>
      <c r="K9" s="910">
        <f>K19+K29</f>
        <v>3065</v>
      </c>
      <c r="L9" s="911">
        <f>K9/J9*100</f>
        <v>78.63006670087225</v>
      </c>
      <c r="M9" s="906">
        <f>M19+M29</f>
        <v>3674</v>
      </c>
      <c r="N9" s="910">
        <f>N19+N29</f>
        <v>2917</v>
      </c>
      <c r="O9" s="911">
        <f>N9/M9*100</f>
        <v>79.39575394665215</v>
      </c>
      <c r="P9" s="912">
        <f>P19+P29</f>
        <v>3973</v>
      </c>
      <c r="Q9" s="913">
        <f>Q19+Q29</f>
        <v>3256</v>
      </c>
      <c r="R9" s="914">
        <f>Q9/P9*100</f>
        <v>81.95318399194564</v>
      </c>
      <c r="S9" s="912">
        <f>S19+S29</f>
        <v>4342</v>
      </c>
      <c r="T9" s="913">
        <f>T19+T29</f>
        <v>3607</v>
      </c>
      <c r="U9" s="915">
        <f>T9/S9*100</f>
        <v>83.07231690465223</v>
      </c>
      <c r="V9" s="912">
        <f>V19+V29</f>
        <v>4621</v>
      </c>
      <c r="W9" s="913">
        <f>W19+W29</f>
        <v>3780</v>
      </c>
      <c r="X9" s="915">
        <f>W9/V9*100</f>
        <v>81.80047608742697</v>
      </c>
      <c r="Y9" s="912">
        <f>Y19+Y29</f>
        <v>4908</v>
      </c>
      <c r="Z9" s="913">
        <f>Z19+Z29</f>
        <v>4035</v>
      </c>
      <c r="AA9" s="915">
        <f>Z9/Y9*100</f>
        <v>82.21271393643032</v>
      </c>
      <c r="AB9" s="889"/>
      <c r="AC9" s="874"/>
      <c r="AD9" s="874"/>
      <c r="AE9" s="874"/>
    </row>
    <row r="10" spans="1:31" ht="16.5" customHeight="1">
      <c r="A10" s="916"/>
      <c r="B10" s="832"/>
      <c r="C10" s="893" t="s">
        <v>5</v>
      </c>
      <c r="D10" s="894">
        <v>2976</v>
      </c>
      <c r="E10" s="895">
        <v>2227</v>
      </c>
      <c r="F10" s="896">
        <f aca="true" t="shared" si="0" ref="F10:F15">E10/D10*100</f>
        <v>74.83198924731182</v>
      </c>
      <c r="G10" s="894">
        <v>3202</v>
      </c>
      <c r="H10" s="895">
        <v>2485</v>
      </c>
      <c r="I10" s="896">
        <f aca="true" t="shared" si="1" ref="I10:I15">H10/G10*100</f>
        <v>77.60774515927545</v>
      </c>
      <c r="J10" s="897">
        <f>J11+J12</f>
        <v>3417</v>
      </c>
      <c r="K10" s="898">
        <f>K11+K12</f>
        <v>2577</v>
      </c>
      <c r="L10" s="899">
        <f aca="true" t="shared" si="2" ref="L10:L15">K10/J10*100</f>
        <v>75.41703248463566</v>
      </c>
      <c r="M10" s="894">
        <f>M11+M12</f>
        <v>3454</v>
      </c>
      <c r="N10" s="898">
        <f>N11+N12</f>
        <v>2723</v>
      </c>
      <c r="O10" s="899">
        <f aca="true" t="shared" si="3" ref="O10:O15">N10/M10*100</f>
        <v>78.8361320208454</v>
      </c>
      <c r="P10" s="903">
        <f>P11+P12</f>
        <v>3534</v>
      </c>
      <c r="Q10" s="904">
        <f>Q11+Q12</f>
        <v>2926</v>
      </c>
      <c r="R10" s="899">
        <f aca="true" t="shared" si="4" ref="R10:R15">Q10/P10*100</f>
        <v>82.79569892473118</v>
      </c>
      <c r="S10" s="903">
        <f>S11+S12</f>
        <v>3765</v>
      </c>
      <c r="T10" s="904">
        <f>T11+T12</f>
        <v>3156</v>
      </c>
      <c r="U10" s="896">
        <f aca="true" t="shared" si="5" ref="U10:U15">T10/S10*100</f>
        <v>83.82470119521912</v>
      </c>
      <c r="V10" s="903">
        <f>V11+V12</f>
        <v>3911</v>
      </c>
      <c r="W10" s="904">
        <f>W11+W12</f>
        <v>3209</v>
      </c>
      <c r="X10" s="896">
        <f aca="true" t="shared" si="6" ref="X10:X15">W10/V10*100</f>
        <v>82.05062643825109</v>
      </c>
      <c r="Y10" s="903">
        <f>Y11+Y12</f>
        <v>4111</v>
      </c>
      <c r="Z10" s="904">
        <f>Z11+Z12</f>
        <v>3384</v>
      </c>
      <c r="AA10" s="896">
        <f aca="true" t="shared" si="7" ref="AA10:AA15">Z10/Y10*100</f>
        <v>82.31573826319631</v>
      </c>
      <c r="AB10" s="889"/>
      <c r="AC10" s="874"/>
      <c r="AD10" s="874"/>
      <c r="AE10" s="874"/>
    </row>
    <row r="11" spans="1:31" ht="16.5" customHeight="1">
      <c r="A11" s="821" t="s">
        <v>206</v>
      </c>
      <c r="B11" s="843"/>
      <c r="C11" s="893" t="s">
        <v>43</v>
      </c>
      <c r="D11" s="894">
        <v>1453</v>
      </c>
      <c r="E11" s="895">
        <v>1024</v>
      </c>
      <c r="F11" s="896">
        <f t="shared" si="0"/>
        <v>70.474879559532</v>
      </c>
      <c r="G11" s="894">
        <v>1577</v>
      </c>
      <c r="H11" s="895">
        <v>1171</v>
      </c>
      <c r="I11" s="896">
        <f t="shared" si="1"/>
        <v>74.25491439441979</v>
      </c>
      <c r="J11" s="894">
        <v>1685</v>
      </c>
      <c r="K11" s="895">
        <v>1168</v>
      </c>
      <c r="L11" s="899">
        <f t="shared" si="2"/>
        <v>69.31750741839762</v>
      </c>
      <c r="M11" s="894">
        <v>1748</v>
      </c>
      <c r="N11" s="895">
        <v>1286</v>
      </c>
      <c r="O11" s="899">
        <f t="shared" si="3"/>
        <v>73.56979405034325</v>
      </c>
      <c r="P11" s="903">
        <v>1734</v>
      </c>
      <c r="Q11" s="904">
        <v>1353</v>
      </c>
      <c r="R11" s="899">
        <f t="shared" si="4"/>
        <v>78.02768166089965</v>
      </c>
      <c r="S11" s="903">
        <v>1873</v>
      </c>
      <c r="T11" s="904">
        <v>1461</v>
      </c>
      <c r="U11" s="896">
        <f t="shared" si="5"/>
        <v>78.00320341697811</v>
      </c>
      <c r="V11" s="903">
        <v>1866</v>
      </c>
      <c r="W11" s="904">
        <v>1410</v>
      </c>
      <c r="X11" s="896">
        <f t="shared" si="6"/>
        <v>75.56270096463022</v>
      </c>
      <c r="Y11" s="903">
        <v>1911</v>
      </c>
      <c r="Z11" s="904">
        <v>1481</v>
      </c>
      <c r="AA11" s="896">
        <f t="shared" si="7"/>
        <v>77.49869178440608</v>
      </c>
      <c r="AB11" s="889"/>
      <c r="AC11" s="874"/>
      <c r="AD11" s="874"/>
      <c r="AE11" s="874"/>
    </row>
    <row r="12" spans="1:31" ht="16.5" customHeight="1">
      <c r="A12" s="824"/>
      <c r="B12" s="839" t="s">
        <v>102</v>
      </c>
      <c r="C12" s="905" t="s">
        <v>44</v>
      </c>
      <c r="D12" s="906">
        <v>1523</v>
      </c>
      <c r="E12" s="907">
        <v>1203</v>
      </c>
      <c r="F12" s="915">
        <f t="shared" si="0"/>
        <v>78.98883782009193</v>
      </c>
      <c r="G12" s="906">
        <v>1625</v>
      </c>
      <c r="H12" s="907">
        <v>1314</v>
      </c>
      <c r="I12" s="915">
        <f t="shared" si="1"/>
        <v>80.86153846153846</v>
      </c>
      <c r="J12" s="906">
        <v>1732</v>
      </c>
      <c r="K12" s="907">
        <v>1409</v>
      </c>
      <c r="L12" s="914">
        <f t="shared" si="2"/>
        <v>81.35103926096998</v>
      </c>
      <c r="M12" s="906">
        <v>1706</v>
      </c>
      <c r="N12" s="907">
        <v>1437</v>
      </c>
      <c r="O12" s="914">
        <f t="shared" si="3"/>
        <v>84.23212192262602</v>
      </c>
      <c r="P12" s="912">
        <v>1800</v>
      </c>
      <c r="Q12" s="913">
        <v>1573</v>
      </c>
      <c r="R12" s="914">
        <f t="shared" si="4"/>
        <v>87.3888888888889</v>
      </c>
      <c r="S12" s="912">
        <v>1892</v>
      </c>
      <c r="T12" s="913">
        <v>1695</v>
      </c>
      <c r="U12" s="915">
        <f t="shared" si="5"/>
        <v>89.58773784355179</v>
      </c>
      <c r="V12" s="912">
        <v>2045</v>
      </c>
      <c r="W12" s="913">
        <v>1799</v>
      </c>
      <c r="X12" s="915">
        <f t="shared" si="6"/>
        <v>87.97066014669926</v>
      </c>
      <c r="Y12" s="912">
        <v>2200</v>
      </c>
      <c r="Z12" s="913">
        <v>1903</v>
      </c>
      <c r="AA12" s="915">
        <f t="shared" si="7"/>
        <v>86.5</v>
      </c>
      <c r="AB12" s="889"/>
      <c r="AC12" s="874"/>
      <c r="AD12" s="874"/>
      <c r="AE12" s="874"/>
    </row>
    <row r="13" spans="1:31" ht="16.5" customHeight="1">
      <c r="A13" s="917"/>
      <c r="B13" s="843"/>
      <c r="C13" s="893" t="s">
        <v>5</v>
      </c>
      <c r="D13" s="894">
        <f>D14+D15</f>
        <v>3820</v>
      </c>
      <c r="E13" s="895">
        <f>E14+E15</f>
        <v>2747</v>
      </c>
      <c r="F13" s="896">
        <f t="shared" si="0"/>
        <v>71.91099476439791</v>
      </c>
      <c r="G13" s="894">
        <f>G14+G15</f>
        <v>3643</v>
      </c>
      <c r="H13" s="895">
        <f>H14+H15</f>
        <v>2704</v>
      </c>
      <c r="I13" s="896">
        <f t="shared" si="1"/>
        <v>74.22454021410925</v>
      </c>
      <c r="J13" s="894">
        <f>J14+J15</f>
        <v>3788</v>
      </c>
      <c r="K13" s="895">
        <f>K14+K15</f>
        <v>2834</v>
      </c>
      <c r="L13" s="896">
        <f t="shared" si="2"/>
        <v>74.81520591341078</v>
      </c>
      <c r="M13" s="894">
        <f>M14+M15</f>
        <v>3429</v>
      </c>
      <c r="N13" s="895">
        <f>N14+N15</f>
        <v>2522</v>
      </c>
      <c r="O13" s="899">
        <f t="shared" si="3"/>
        <v>73.54913969087198</v>
      </c>
      <c r="P13" s="894">
        <f>P14+P15</f>
        <v>3740</v>
      </c>
      <c r="Q13" s="895">
        <f>Q14+Q15</f>
        <v>2760</v>
      </c>
      <c r="R13" s="899">
        <f t="shared" si="4"/>
        <v>73.79679144385027</v>
      </c>
      <c r="S13" s="894">
        <f>S14+S15</f>
        <v>4275</v>
      </c>
      <c r="T13" s="895">
        <f>T14+T15</f>
        <v>3220</v>
      </c>
      <c r="U13" s="896">
        <f t="shared" si="5"/>
        <v>75.3216374269006</v>
      </c>
      <c r="V13" s="1014">
        <f>V14+V15</f>
        <v>4606</v>
      </c>
      <c r="W13" s="1016">
        <f>W14+W15</f>
        <v>3413</v>
      </c>
      <c r="X13" s="896">
        <f t="shared" si="6"/>
        <v>74.09900130264872</v>
      </c>
      <c r="Y13" s="1014">
        <f>Y14+Y15</f>
        <v>4796</v>
      </c>
      <c r="Z13" s="1016">
        <f>Z14+Z15</f>
        <v>3627</v>
      </c>
      <c r="AA13" s="896">
        <f t="shared" si="7"/>
        <v>75.6255212677231</v>
      </c>
      <c r="AB13" s="889"/>
      <c r="AC13" s="874"/>
      <c r="AD13" s="874"/>
      <c r="AE13" s="874"/>
    </row>
    <row r="14" spans="1:31" ht="16.5" customHeight="1">
      <c r="A14" s="821" t="s">
        <v>207</v>
      </c>
      <c r="B14" s="822"/>
      <c r="C14" s="893" t="s">
        <v>43</v>
      </c>
      <c r="D14" s="894">
        <f>D8-D11</f>
        <v>1728</v>
      </c>
      <c r="E14" s="895">
        <f>E8-E11</f>
        <v>1204</v>
      </c>
      <c r="F14" s="896">
        <f t="shared" si="0"/>
        <v>69.67592592592592</v>
      </c>
      <c r="G14" s="894">
        <f>G8-G11</f>
        <v>1586</v>
      </c>
      <c r="H14" s="895">
        <f>H8-H11</f>
        <v>1167</v>
      </c>
      <c r="I14" s="896">
        <f t="shared" si="1"/>
        <v>73.58133669609079</v>
      </c>
      <c r="J14" s="894">
        <f>J8-J11</f>
        <v>1622</v>
      </c>
      <c r="K14" s="895">
        <f>K8-K11</f>
        <v>1178</v>
      </c>
      <c r="L14" s="896">
        <f t="shared" si="2"/>
        <v>72.62638717632552</v>
      </c>
      <c r="M14" s="894">
        <f>M8-M11</f>
        <v>1461</v>
      </c>
      <c r="N14" s="895">
        <f>N8-N11</f>
        <v>1042</v>
      </c>
      <c r="O14" s="899">
        <f t="shared" si="3"/>
        <v>71.32101300479124</v>
      </c>
      <c r="P14" s="894">
        <f>P8-P11</f>
        <v>1567</v>
      </c>
      <c r="Q14" s="895">
        <f>Q8-Q11</f>
        <v>1077</v>
      </c>
      <c r="R14" s="899">
        <f t="shared" si="4"/>
        <v>68.73005743458839</v>
      </c>
      <c r="S14" s="894">
        <f>S8-S11</f>
        <v>1825</v>
      </c>
      <c r="T14" s="895">
        <f>T8-T11</f>
        <v>1308</v>
      </c>
      <c r="U14" s="896">
        <f t="shared" si="5"/>
        <v>71.67123287671234</v>
      </c>
      <c r="V14" s="1014">
        <f>V8-V11</f>
        <v>2030</v>
      </c>
      <c r="W14" s="1016">
        <f>W8-W11</f>
        <v>1432</v>
      </c>
      <c r="X14" s="896">
        <f t="shared" si="6"/>
        <v>70.54187192118226</v>
      </c>
      <c r="Y14" s="1014">
        <f>Y8-Y11</f>
        <v>2088</v>
      </c>
      <c r="Z14" s="1016">
        <f>Z8-Z11</f>
        <v>1495</v>
      </c>
      <c r="AA14" s="896">
        <f t="shared" si="7"/>
        <v>71.59961685823755</v>
      </c>
      <c r="AB14" s="889"/>
      <c r="AC14" s="874"/>
      <c r="AD14" s="874"/>
      <c r="AE14" s="874"/>
    </row>
    <row r="15" spans="1:31" ht="16.5" customHeight="1">
      <c r="A15" s="824" t="s">
        <v>102</v>
      </c>
      <c r="B15" s="825"/>
      <c r="C15" s="905" t="s">
        <v>44</v>
      </c>
      <c r="D15" s="906">
        <f>D9-D12</f>
        <v>2092</v>
      </c>
      <c r="E15" s="907">
        <f>E9-E12</f>
        <v>1543</v>
      </c>
      <c r="F15" s="908">
        <f t="shared" si="0"/>
        <v>73.75717017208413</v>
      </c>
      <c r="G15" s="906">
        <f>G9-G12</f>
        <v>2057</v>
      </c>
      <c r="H15" s="907">
        <f>H9-H12</f>
        <v>1537</v>
      </c>
      <c r="I15" s="908">
        <f t="shared" si="1"/>
        <v>74.72046669907633</v>
      </c>
      <c r="J15" s="906">
        <f>J9-J12</f>
        <v>2166</v>
      </c>
      <c r="K15" s="907">
        <f>K9-K12</f>
        <v>1656</v>
      </c>
      <c r="L15" s="908">
        <f t="shared" si="2"/>
        <v>76.45429362880887</v>
      </c>
      <c r="M15" s="906">
        <f>M9-M12</f>
        <v>1968</v>
      </c>
      <c r="N15" s="907">
        <f>N9-N12</f>
        <v>1480</v>
      </c>
      <c r="O15" s="911">
        <f t="shared" si="3"/>
        <v>75.20325203252033</v>
      </c>
      <c r="P15" s="906">
        <f>P9-P12</f>
        <v>2173</v>
      </c>
      <c r="Q15" s="907">
        <f>Q9-Q12</f>
        <v>1683</v>
      </c>
      <c r="R15" s="911">
        <f t="shared" si="4"/>
        <v>77.45052922227336</v>
      </c>
      <c r="S15" s="906">
        <f>S9-S12</f>
        <v>2450</v>
      </c>
      <c r="T15" s="907">
        <f>T9-T12</f>
        <v>1912</v>
      </c>
      <c r="U15" s="908">
        <f t="shared" si="5"/>
        <v>78.04081632653062</v>
      </c>
      <c r="V15" s="1015">
        <f>V9-V12</f>
        <v>2576</v>
      </c>
      <c r="W15" s="1017">
        <f>W9-W12</f>
        <v>1981</v>
      </c>
      <c r="X15" s="908">
        <f t="shared" si="6"/>
        <v>76.90217391304348</v>
      </c>
      <c r="Y15" s="1015">
        <f>Y9-Y12</f>
        <v>2708</v>
      </c>
      <c r="Z15" s="1017">
        <f>Z9-Z12</f>
        <v>2132</v>
      </c>
      <c r="AA15" s="908">
        <f t="shared" si="7"/>
        <v>78.72968980797637</v>
      </c>
      <c r="AB15" s="889"/>
      <c r="AC15" s="874"/>
      <c r="AD15" s="874"/>
      <c r="AE15" s="874"/>
    </row>
    <row r="16" spans="1:31" ht="22.5" customHeight="1">
      <c r="A16" s="1504" t="s">
        <v>2</v>
      </c>
      <c r="B16" s="1505"/>
      <c r="C16" s="1505"/>
      <c r="D16" s="1505"/>
      <c r="E16" s="1505"/>
      <c r="F16" s="1505"/>
      <c r="G16" s="1505"/>
      <c r="H16" s="1505"/>
      <c r="I16" s="1505"/>
      <c r="J16" s="1505"/>
      <c r="K16" s="1505"/>
      <c r="L16" s="1505"/>
      <c r="M16" s="1505"/>
      <c r="N16" s="1505"/>
      <c r="O16" s="1505"/>
      <c r="P16" s="1505"/>
      <c r="Q16" s="1505"/>
      <c r="R16" s="1505"/>
      <c r="S16" s="1505"/>
      <c r="T16" s="1505"/>
      <c r="U16" s="1505"/>
      <c r="V16" s="1505"/>
      <c r="W16" s="1505"/>
      <c r="X16" s="1505"/>
      <c r="Y16" s="1505"/>
      <c r="Z16" s="1505"/>
      <c r="AA16" s="1506"/>
      <c r="AB16" s="889"/>
      <c r="AC16" s="874"/>
      <c r="AD16" s="874"/>
      <c r="AE16" s="874"/>
    </row>
    <row r="17" spans="1:31" ht="16.5" customHeight="1">
      <c r="A17" s="849"/>
      <c r="B17" s="918"/>
      <c r="C17" s="919" t="s">
        <v>5</v>
      </c>
      <c r="D17" s="895">
        <f aca="true" t="shared" si="8" ref="D17:E19">D7-D27</f>
        <v>6648</v>
      </c>
      <c r="E17" s="895">
        <f t="shared" si="8"/>
        <v>4882</v>
      </c>
      <c r="F17" s="896">
        <f aca="true" t="shared" si="9" ref="F17:F29">E17/D17*100</f>
        <v>73.43561973525873</v>
      </c>
      <c r="G17" s="895">
        <f aca="true" t="shared" si="10" ref="G17:H19">G7-G27</f>
        <v>6668</v>
      </c>
      <c r="H17" s="895">
        <f t="shared" si="10"/>
        <v>5085</v>
      </c>
      <c r="I17" s="896">
        <f aca="true" t="shared" si="11" ref="I17:I29">H17/G17*100</f>
        <v>76.25974805038992</v>
      </c>
      <c r="J17" s="895">
        <f>J18+J19</f>
        <v>7024</v>
      </c>
      <c r="K17" s="895">
        <f>K18+K19</f>
        <v>5310</v>
      </c>
      <c r="L17" s="899">
        <f aca="true" t="shared" si="12" ref="L17:L29">K17/J17*100</f>
        <v>75.59794988610479</v>
      </c>
      <c r="M17" s="894">
        <f>M18+M19</f>
        <v>6683</v>
      </c>
      <c r="N17" s="895">
        <f>N18+N19</f>
        <v>5136</v>
      </c>
      <c r="O17" s="899">
        <v>76.8</v>
      </c>
      <c r="P17" s="900">
        <f>P18+P19</f>
        <v>7106</v>
      </c>
      <c r="Q17" s="901">
        <f>Q18+Q19</f>
        <v>5555</v>
      </c>
      <c r="R17" s="899">
        <f>Q17/P17*100</f>
        <v>78.1733746130031</v>
      </c>
      <c r="S17" s="900">
        <f>S18+S19</f>
        <v>7849</v>
      </c>
      <c r="T17" s="901">
        <f>T18+T19</f>
        <v>6234</v>
      </c>
      <c r="U17" s="902">
        <f>T17/S17*100</f>
        <v>79.4241304624793</v>
      </c>
      <c r="V17" s="900">
        <f>V18+V19</f>
        <v>8290</v>
      </c>
      <c r="W17" s="901">
        <f>W18+W19</f>
        <v>6456</v>
      </c>
      <c r="X17" s="902">
        <f>W17/V17*100</f>
        <v>77.87696019300363</v>
      </c>
      <c r="Y17" s="900">
        <f>Y18+Y19</f>
        <v>8658</v>
      </c>
      <c r="Z17" s="901">
        <f>Z18+Z19</f>
        <v>6827</v>
      </c>
      <c r="AA17" s="902">
        <f>Z17/Y17*100</f>
        <v>78.85192885192886</v>
      </c>
      <c r="AB17" s="889"/>
      <c r="AC17" s="874"/>
      <c r="AD17" s="874"/>
      <c r="AE17" s="874"/>
    </row>
    <row r="18" spans="1:31" ht="16.5" customHeight="1">
      <c r="A18" s="920" t="s">
        <v>205</v>
      </c>
      <c r="B18" s="843"/>
      <c r="C18" s="893" t="s">
        <v>43</v>
      </c>
      <c r="D18" s="895">
        <f t="shared" si="8"/>
        <v>3104</v>
      </c>
      <c r="E18" s="895">
        <f t="shared" si="8"/>
        <v>2176</v>
      </c>
      <c r="F18" s="896">
        <f t="shared" si="9"/>
        <v>70.10309278350515</v>
      </c>
      <c r="G18" s="895">
        <f t="shared" si="10"/>
        <v>3077</v>
      </c>
      <c r="H18" s="895">
        <f t="shared" si="10"/>
        <v>2287</v>
      </c>
      <c r="I18" s="896">
        <f t="shared" si="11"/>
        <v>74.32564185895353</v>
      </c>
      <c r="J18" s="895">
        <f>J21+J24</f>
        <v>3216</v>
      </c>
      <c r="K18" s="895">
        <f>K21+K24</f>
        <v>2296</v>
      </c>
      <c r="L18" s="899">
        <f t="shared" si="12"/>
        <v>71.39303482587064</v>
      </c>
      <c r="M18" s="894">
        <f>M21+M24</f>
        <v>3107</v>
      </c>
      <c r="N18" s="895">
        <f>N21+N24</f>
        <v>2268</v>
      </c>
      <c r="O18" s="899">
        <f aca="true" t="shared" si="13" ref="O18:O25">N18/M18*100</f>
        <v>72.99645960733827</v>
      </c>
      <c r="P18" s="903">
        <f>P21+P24</f>
        <v>3225</v>
      </c>
      <c r="Q18" s="904">
        <f>Q21+Q24</f>
        <v>2375</v>
      </c>
      <c r="R18" s="899">
        <f>Q18/P18*100</f>
        <v>73.64341085271317</v>
      </c>
      <c r="S18" s="903">
        <f>S21+S24</f>
        <v>3618</v>
      </c>
      <c r="T18" s="904">
        <f>T21+T24</f>
        <v>2709</v>
      </c>
      <c r="U18" s="896">
        <f>T18/S18*100</f>
        <v>74.87562189054727</v>
      </c>
      <c r="V18" s="903">
        <f>V21+V24</f>
        <v>3796</v>
      </c>
      <c r="W18" s="904">
        <f>W21+W24</f>
        <v>2764</v>
      </c>
      <c r="X18" s="896">
        <f>W18/V18*100</f>
        <v>72.81348788198103</v>
      </c>
      <c r="Y18" s="903">
        <f>Y21+Y24</f>
        <v>3884</v>
      </c>
      <c r="Z18" s="904">
        <f>Z21+Z24</f>
        <v>2896</v>
      </c>
      <c r="AA18" s="896">
        <f>Z18/Y18*100</f>
        <v>74.56230690010298</v>
      </c>
      <c r="AB18" s="889"/>
      <c r="AC18" s="874"/>
      <c r="AD18" s="874"/>
      <c r="AE18" s="874"/>
    </row>
    <row r="19" spans="1:31" ht="16.5" customHeight="1">
      <c r="A19" s="824"/>
      <c r="B19" s="839" t="s">
        <v>102</v>
      </c>
      <c r="C19" s="905" t="s">
        <v>44</v>
      </c>
      <c r="D19" s="907">
        <f t="shared" si="8"/>
        <v>3544</v>
      </c>
      <c r="E19" s="907">
        <f t="shared" si="8"/>
        <v>2706</v>
      </c>
      <c r="F19" s="915">
        <f t="shared" si="9"/>
        <v>76.35440180586907</v>
      </c>
      <c r="G19" s="907">
        <f t="shared" si="10"/>
        <v>3591</v>
      </c>
      <c r="H19" s="907">
        <f t="shared" si="10"/>
        <v>2798</v>
      </c>
      <c r="I19" s="915">
        <f t="shared" si="11"/>
        <v>77.91701475912002</v>
      </c>
      <c r="J19" s="909">
        <f>J22+J25</f>
        <v>3808</v>
      </c>
      <c r="K19" s="907">
        <f>K22+K25</f>
        <v>3014</v>
      </c>
      <c r="L19" s="914">
        <f t="shared" si="12"/>
        <v>79.14915966386555</v>
      </c>
      <c r="M19" s="906">
        <f>M22+M25</f>
        <v>3576</v>
      </c>
      <c r="N19" s="907">
        <f>N22+N25</f>
        <v>2868</v>
      </c>
      <c r="O19" s="914">
        <f t="shared" si="13"/>
        <v>80.20134228187919</v>
      </c>
      <c r="P19" s="912">
        <f>P22+P25</f>
        <v>3881</v>
      </c>
      <c r="Q19" s="913">
        <f>Q22+Q25</f>
        <v>3180</v>
      </c>
      <c r="R19" s="914">
        <f>Q19/P19*100</f>
        <v>81.93764493687195</v>
      </c>
      <c r="S19" s="912">
        <f>S22+S25</f>
        <v>4231</v>
      </c>
      <c r="T19" s="913">
        <f>T22+T25</f>
        <v>3525</v>
      </c>
      <c r="U19" s="915">
        <f>T19/S19*100</f>
        <v>83.31363743795794</v>
      </c>
      <c r="V19" s="912">
        <f>V22+V25</f>
        <v>4494</v>
      </c>
      <c r="W19" s="913">
        <f>W22+W25</f>
        <v>3692</v>
      </c>
      <c r="X19" s="915">
        <f>W19/V19*100</f>
        <v>82.15398308856253</v>
      </c>
      <c r="Y19" s="912">
        <f>Y22+Y25</f>
        <v>4774</v>
      </c>
      <c r="Z19" s="913">
        <f>Z22+Z25</f>
        <v>3931</v>
      </c>
      <c r="AA19" s="915">
        <f>Z19/Y19*100</f>
        <v>82.3418516966904</v>
      </c>
      <c r="AB19" s="889"/>
      <c r="AC19" s="874"/>
      <c r="AD19" s="874"/>
      <c r="AE19" s="874"/>
    </row>
    <row r="20" spans="1:31" ht="16.5" customHeight="1">
      <c r="A20" s="916"/>
      <c r="B20" s="832"/>
      <c r="C20" s="893" t="s">
        <v>5</v>
      </c>
      <c r="D20" s="894">
        <v>2976</v>
      </c>
      <c r="E20" s="895">
        <v>2227</v>
      </c>
      <c r="F20" s="896">
        <f t="shared" si="9"/>
        <v>74.83198924731182</v>
      </c>
      <c r="G20" s="894">
        <v>3202</v>
      </c>
      <c r="H20" s="895">
        <v>2485</v>
      </c>
      <c r="I20" s="896">
        <f t="shared" si="11"/>
        <v>77.60774515927545</v>
      </c>
      <c r="J20" s="897">
        <f>J21+J22</f>
        <v>3417</v>
      </c>
      <c r="K20" s="898">
        <f>K21+K22</f>
        <v>2577</v>
      </c>
      <c r="L20" s="899">
        <f t="shared" si="12"/>
        <v>75.41703248463566</v>
      </c>
      <c r="M20" s="894">
        <f>M21+M22</f>
        <v>3454</v>
      </c>
      <c r="N20" s="898">
        <f>N21+N22</f>
        <v>2723</v>
      </c>
      <c r="O20" s="899">
        <f t="shared" si="13"/>
        <v>78.8361320208454</v>
      </c>
      <c r="P20" s="903">
        <f>P21+P22</f>
        <v>3534</v>
      </c>
      <c r="Q20" s="904">
        <f>Q21+Q22</f>
        <v>2926</v>
      </c>
      <c r="R20" s="899">
        <f aca="true" t="shared" si="14" ref="R20:R25">Q20/P20*100</f>
        <v>82.79569892473118</v>
      </c>
      <c r="S20" s="903">
        <f>S21+S22</f>
        <v>3765</v>
      </c>
      <c r="T20" s="904">
        <f>T21+T22</f>
        <v>3156</v>
      </c>
      <c r="U20" s="896">
        <f aca="true" t="shared" si="15" ref="U20:U25">T20/S20*100</f>
        <v>83.82470119521912</v>
      </c>
      <c r="V20" s="903">
        <f>V21+V22</f>
        <v>3911</v>
      </c>
      <c r="W20" s="904">
        <f>W21+W22</f>
        <v>3209</v>
      </c>
      <c r="X20" s="896">
        <f aca="true" t="shared" si="16" ref="X20:X25">W20/V20*100</f>
        <v>82.05062643825109</v>
      </c>
      <c r="Y20" s="903">
        <f>Y21+Y22</f>
        <v>4111</v>
      </c>
      <c r="Z20" s="904">
        <f>Z21+Z22</f>
        <v>3384</v>
      </c>
      <c r="AA20" s="896">
        <f aca="true" t="shared" si="17" ref="AA20:AA25">Z20/Y20*100</f>
        <v>82.31573826319631</v>
      </c>
      <c r="AB20" s="889"/>
      <c r="AC20" s="874"/>
      <c r="AD20" s="874"/>
      <c r="AE20" s="874"/>
    </row>
    <row r="21" spans="1:31" ht="16.5" customHeight="1">
      <c r="A21" s="821" t="s">
        <v>206</v>
      </c>
      <c r="B21" s="843"/>
      <c r="C21" s="893" t="s">
        <v>43</v>
      </c>
      <c r="D21" s="894">
        <v>1453</v>
      </c>
      <c r="E21" s="895">
        <v>1024</v>
      </c>
      <c r="F21" s="896">
        <f t="shared" si="9"/>
        <v>70.474879559532</v>
      </c>
      <c r="G21" s="894">
        <v>1577</v>
      </c>
      <c r="H21" s="895">
        <v>1171</v>
      </c>
      <c r="I21" s="896">
        <f t="shared" si="11"/>
        <v>74.25491439441979</v>
      </c>
      <c r="J21" s="894">
        <v>1685</v>
      </c>
      <c r="K21" s="895">
        <v>1168</v>
      </c>
      <c r="L21" s="899">
        <f t="shared" si="12"/>
        <v>69.31750741839762</v>
      </c>
      <c r="M21" s="894">
        <v>1748</v>
      </c>
      <c r="N21" s="895">
        <v>1286</v>
      </c>
      <c r="O21" s="899">
        <f t="shared" si="13"/>
        <v>73.56979405034325</v>
      </c>
      <c r="P21" s="903">
        <v>1734</v>
      </c>
      <c r="Q21" s="904">
        <v>1353</v>
      </c>
      <c r="R21" s="899">
        <f t="shared" si="14"/>
        <v>78.02768166089965</v>
      </c>
      <c r="S21" s="903">
        <v>1873</v>
      </c>
      <c r="T21" s="904">
        <v>1461</v>
      </c>
      <c r="U21" s="896">
        <f t="shared" si="15"/>
        <v>78.00320341697811</v>
      </c>
      <c r="V21" s="903">
        <v>1866</v>
      </c>
      <c r="W21" s="904">
        <v>1410</v>
      </c>
      <c r="X21" s="896">
        <f t="shared" si="16"/>
        <v>75.56270096463022</v>
      </c>
      <c r="Y21" s="903">
        <v>1911</v>
      </c>
      <c r="Z21" s="904">
        <v>1481</v>
      </c>
      <c r="AA21" s="896">
        <f t="shared" si="17"/>
        <v>77.49869178440608</v>
      </c>
      <c r="AB21" s="889"/>
      <c r="AC21" s="874"/>
      <c r="AD21" s="874"/>
      <c r="AE21" s="874"/>
    </row>
    <row r="22" spans="1:31" ht="16.5" customHeight="1">
      <c r="A22" s="824"/>
      <c r="B22" s="839" t="s">
        <v>102</v>
      </c>
      <c r="C22" s="905" t="s">
        <v>44</v>
      </c>
      <c r="D22" s="906">
        <v>1523</v>
      </c>
      <c r="E22" s="907">
        <v>1203</v>
      </c>
      <c r="F22" s="915">
        <f t="shared" si="9"/>
        <v>78.98883782009193</v>
      </c>
      <c r="G22" s="906">
        <v>1625</v>
      </c>
      <c r="H22" s="907">
        <v>1314</v>
      </c>
      <c r="I22" s="915">
        <f t="shared" si="11"/>
        <v>80.86153846153846</v>
      </c>
      <c r="J22" s="906">
        <v>1732</v>
      </c>
      <c r="K22" s="907">
        <v>1409</v>
      </c>
      <c r="L22" s="914">
        <f t="shared" si="12"/>
        <v>81.35103926096998</v>
      </c>
      <c r="M22" s="906">
        <v>1706</v>
      </c>
      <c r="N22" s="907">
        <v>1437</v>
      </c>
      <c r="O22" s="914">
        <f t="shared" si="13"/>
        <v>84.23212192262602</v>
      </c>
      <c r="P22" s="912">
        <v>1800</v>
      </c>
      <c r="Q22" s="913">
        <v>1573</v>
      </c>
      <c r="R22" s="914">
        <f t="shared" si="14"/>
        <v>87.3888888888889</v>
      </c>
      <c r="S22" s="912">
        <v>1892</v>
      </c>
      <c r="T22" s="913">
        <v>1695</v>
      </c>
      <c r="U22" s="915">
        <f t="shared" si="15"/>
        <v>89.58773784355179</v>
      </c>
      <c r="V22" s="912">
        <v>2045</v>
      </c>
      <c r="W22" s="913">
        <v>1799</v>
      </c>
      <c r="X22" s="915">
        <f t="shared" si="16"/>
        <v>87.97066014669926</v>
      </c>
      <c r="Y22" s="912">
        <v>2200</v>
      </c>
      <c r="Z22" s="913">
        <v>1903</v>
      </c>
      <c r="AA22" s="915">
        <f t="shared" si="17"/>
        <v>86.5</v>
      </c>
      <c r="AB22" s="889"/>
      <c r="AC22" s="874"/>
      <c r="AD22" s="874"/>
      <c r="AE22" s="874"/>
    </row>
    <row r="23" spans="1:31" ht="16.5" customHeight="1">
      <c r="A23" s="917"/>
      <c r="B23" s="843"/>
      <c r="C23" s="893" t="s">
        <v>5</v>
      </c>
      <c r="D23" s="894">
        <v>3672</v>
      </c>
      <c r="E23" s="895">
        <v>2655</v>
      </c>
      <c r="F23" s="896">
        <f t="shared" si="9"/>
        <v>72.30392156862744</v>
      </c>
      <c r="G23" s="894">
        <v>3466</v>
      </c>
      <c r="H23" s="895">
        <v>2600</v>
      </c>
      <c r="I23" s="896">
        <f t="shared" si="11"/>
        <v>75.01442585112522</v>
      </c>
      <c r="J23" s="897">
        <f>J24+J25</f>
        <v>3607</v>
      </c>
      <c r="K23" s="898">
        <f>K24+K25</f>
        <v>2733</v>
      </c>
      <c r="L23" s="899">
        <f t="shared" si="12"/>
        <v>75.76933739950097</v>
      </c>
      <c r="M23" s="894">
        <f>M24+M25</f>
        <v>3229</v>
      </c>
      <c r="N23" s="898">
        <f>N24+N25</f>
        <v>2413</v>
      </c>
      <c r="O23" s="899">
        <f t="shared" si="13"/>
        <v>74.7290182719108</v>
      </c>
      <c r="P23" s="903">
        <f>P24+P25</f>
        <v>3572</v>
      </c>
      <c r="Q23" s="904">
        <f>Q24+Q25</f>
        <v>2629</v>
      </c>
      <c r="R23" s="899">
        <f t="shared" si="14"/>
        <v>73.60022396416574</v>
      </c>
      <c r="S23" s="903">
        <f>S24+S25</f>
        <v>4084</v>
      </c>
      <c r="T23" s="904">
        <f>T24+T25</f>
        <v>3078</v>
      </c>
      <c r="U23" s="896">
        <f t="shared" si="15"/>
        <v>75.36728697355534</v>
      </c>
      <c r="V23" s="903">
        <f>V24+V25</f>
        <v>4379</v>
      </c>
      <c r="W23" s="904">
        <f>W24+W25</f>
        <v>3247</v>
      </c>
      <c r="X23" s="896">
        <f t="shared" si="16"/>
        <v>74.14934916647637</v>
      </c>
      <c r="Y23" s="903">
        <f>Y24+Y25</f>
        <v>4547</v>
      </c>
      <c r="Z23" s="904">
        <f>Z24+Z25</f>
        <v>3443</v>
      </c>
      <c r="AA23" s="896">
        <f t="shared" si="17"/>
        <v>75.72025511326149</v>
      </c>
      <c r="AB23" s="889"/>
      <c r="AC23" s="874"/>
      <c r="AD23" s="874"/>
      <c r="AE23" s="874"/>
    </row>
    <row r="24" spans="1:31" ht="16.5" customHeight="1">
      <c r="A24" s="821" t="s">
        <v>207</v>
      </c>
      <c r="B24" s="822"/>
      <c r="C24" s="893" t="s">
        <v>43</v>
      </c>
      <c r="D24" s="894">
        <v>1651</v>
      </c>
      <c r="E24" s="895">
        <v>1152</v>
      </c>
      <c r="F24" s="896">
        <f t="shared" si="9"/>
        <v>69.77589339794065</v>
      </c>
      <c r="G24" s="894">
        <v>1500</v>
      </c>
      <c r="H24" s="895">
        <v>1116</v>
      </c>
      <c r="I24" s="896">
        <f t="shared" si="11"/>
        <v>74.4</v>
      </c>
      <c r="J24" s="894">
        <v>1531</v>
      </c>
      <c r="K24" s="895">
        <v>1128</v>
      </c>
      <c r="L24" s="899">
        <f t="shared" si="12"/>
        <v>73.6773350751143</v>
      </c>
      <c r="M24" s="894">
        <f>1345+14</f>
        <v>1359</v>
      </c>
      <c r="N24" s="895">
        <f>979+3</f>
        <v>982</v>
      </c>
      <c r="O24" s="899">
        <f t="shared" si="13"/>
        <v>72.25901398086827</v>
      </c>
      <c r="P24" s="903">
        <f>1422+69</f>
        <v>1491</v>
      </c>
      <c r="Q24" s="904">
        <f>998+24</f>
        <v>1022</v>
      </c>
      <c r="R24" s="899">
        <f t="shared" si="14"/>
        <v>68.54460093896714</v>
      </c>
      <c r="S24" s="903">
        <v>1745</v>
      </c>
      <c r="T24" s="904">
        <v>1248</v>
      </c>
      <c r="U24" s="896">
        <f t="shared" si="15"/>
        <v>71.51862464183381</v>
      </c>
      <c r="V24" s="903">
        <v>1930</v>
      </c>
      <c r="W24" s="904">
        <v>1354</v>
      </c>
      <c r="X24" s="896">
        <f t="shared" si="16"/>
        <v>70.15544041450778</v>
      </c>
      <c r="Y24" s="903">
        <v>1973</v>
      </c>
      <c r="Z24" s="904">
        <v>1415</v>
      </c>
      <c r="AA24" s="896">
        <f t="shared" si="17"/>
        <v>71.7181956411556</v>
      </c>
      <c r="AB24" s="889"/>
      <c r="AC24" s="874"/>
      <c r="AD24" s="874"/>
      <c r="AE24" s="874"/>
    </row>
    <row r="25" spans="1:31" ht="16.5" customHeight="1">
      <c r="A25" s="824" t="s">
        <v>102</v>
      </c>
      <c r="B25" s="825"/>
      <c r="C25" s="905" t="s">
        <v>44</v>
      </c>
      <c r="D25" s="906">
        <v>2021</v>
      </c>
      <c r="E25" s="907">
        <v>1503</v>
      </c>
      <c r="F25" s="908">
        <f t="shared" si="9"/>
        <v>74.3691241959426</v>
      </c>
      <c r="G25" s="906">
        <v>1966</v>
      </c>
      <c r="H25" s="907">
        <v>1484</v>
      </c>
      <c r="I25" s="908">
        <f t="shared" si="11"/>
        <v>75.48321464903357</v>
      </c>
      <c r="J25" s="909">
        <v>2076</v>
      </c>
      <c r="K25" s="907">
        <v>1605</v>
      </c>
      <c r="L25" s="911">
        <f t="shared" si="12"/>
        <v>77.3121387283237</v>
      </c>
      <c r="M25" s="906">
        <f>1864+6</f>
        <v>1870</v>
      </c>
      <c r="N25" s="907">
        <f>1430+1</f>
        <v>1431</v>
      </c>
      <c r="O25" s="911">
        <f t="shared" si="13"/>
        <v>76.524064171123</v>
      </c>
      <c r="P25" s="912">
        <f>2040+41</f>
        <v>2081</v>
      </c>
      <c r="Q25" s="913">
        <f>1590+17</f>
        <v>1607</v>
      </c>
      <c r="R25" s="899">
        <f t="shared" si="14"/>
        <v>77.22248918789045</v>
      </c>
      <c r="S25" s="912">
        <v>2339</v>
      </c>
      <c r="T25" s="913">
        <v>1830</v>
      </c>
      <c r="U25" s="908">
        <f t="shared" si="15"/>
        <v>78.23856348867038</v>
      </c>
      <c r="V25" s="912">
        <v>2449</v>
      </c>
      <c r="W25" s="913">
        <v>1893</v>
      </c>
      <c r="X25" s="908">
        <f t="shared" si="16"/>
        <v>77.2968558595345</v>
      </c>
      <c r="Y25" s="912">
        <v>2574</v>
      </c>
      <c r="Z25" s="913">
        <v>2028</v>
      </c>
      <c r="AA25" s="908">
        <f t="shared" si="17"/>
        <v>78.78787878787878</v>
      </c>
      <c r="AB25" s="889"/>
      <c r="AC25" s="874"/>
      <c r="AD25" s="874"/>
      <c r="AE25" s="874"/>
    </row>
    <row r="26" spans="1:31" ht="22.5" customHeight="1">
      <c r="A26" s="1525" t="s">
        <v>216</v>
      </c>
      <c r="B26" s="1526"/>
      <c r="C26" s="1526"/>
      <c r="D26" s="1526"/>
      <c r="E26" s="1526"/>
      <c r="F26" s="1526"/>
      <c r="G26" s="1526"/>
      <c r="H26" s="1526"/>
      <c r="I26" s="1526"/>
      <c r="J26" s="1526"/>
      <c r="K26" s="1526"/>
      <c r="L26" s="1526"/>
      <c r="M26" s="1526"/>
      <c r="N26" s="1526"/>
      <c r="O26" s="1526"/>
      <c r="P26" s="1526"/>
      <c r="Q26" s="1526"/>
      <c r="R26" s="1526"/>
      <c r="S26" s="1526"/>
      <c r="T26" s="1526"/>
      <c r="U26" s="1526"/>
      <c r="V26" s="1526"/>
      <c r="W26" s="1526"/>
      <c r="X26" s="1526"/>
      <c r="Y26" s="1526"/>
      <c r="Z26" s="1526"/>
      <c r="AA26" s="1527"/>
      <c r="AB26" s="889"/>
      <c r="AC26" s="874"/>
      <c r="AD26" s="874"/>
      <c r="AE26" s="874"/>
    </row>
    <row r="27" spans="1:31" ht="16.5" customHeight="1">
      <c r="A27" s="814"/>
      <c r="B27" s="815"/>
      <c r="C27" s="893" t="s">
        <v>5</v>
      </c>
      <c r="D27" s="894">
        <v>148</v>
      </c>
      <c r="E27" s="895">
        <v>92</v>
      </c>
      <c r="F27" s="896">
        <f t="shared" si="9"/>
        <v>62.16216216216216</v>
      </c>
      <c r="G27" s="894">
        <v>177</v>
      </c>
      <c r="H27" s="895">
        <v>104</v>
      </c>
      <c r="I27" s="896">
        <f t="shared" si="11"/>
        <v>58.75706214689266</v>
      </c>
      <c r="J27" s="897">
        <f>J28+J29</f>
        <v>181</v>
      </c>
      <c r="K27" s="898">
        <f>K28+K29</f>
        <v>101</v>
      </c>
      <c r="L27" s="899">
        <f t="shared" si="12"/>
        <v>55.80110497237569</v>
      </c>
      <c r="M27" s="894">
        <f>M28+M29</f>
        <v>200</v>
      </c>
      <c r="N27" s="898">
        <f>N28+N29</f>
        <v>109</v>
      </c>
      <c r="O27" s="899">
        <f>N27/M27*100</f>
        <v>54.50000000000001</v>
      </c>
      <c r="P27" s="921">
        <f>P28+P29</f>
        <v>168</v>
      </c>
      <c r="Q27" s="922">
        <f>Q28+Q29</f>
        <v>131</v>
      </c>
      <c r="R27" s="899">
        <f>Q27/P27*100</f>
        <v>77.97619047619048</v>
      </c>
      <c r="S27" s="921">
        <f>S28+S29</f>
        <v>191</v>
      </c>
      <c r="T27" s="922">
        <f>T28+T29</f>
        <v>142</v>
      </c>
      <c r="U27" s="902">
        <f>T27/S27*100</f>
        <v>74.3455497382199</v>
      </c>
      <c r="V27" s="921">
        <f>V28+V29</f>
        <v>227</v>
      </c>
      <c r="W27" s="922">
        <f>W28+W29</f>
        <v>166</v>
      </c>
      <c r="X27" s="902">
        <f>W27/V27*100</f>
        <v>73.12775330396477</v>
      </c>
      <c r="Y27" s="921">
        <f>Y28+Y29</f>
        <v>249</v>
      </c>
      <c r="Z27" s="922">
        <f>Z28+Z29</f>
        <v>184</v>
      </c>
      <c r="AA27" s="902">
        <f>Z27/Y27*100</f>
        <v>73.89558232931726</v>
      </c>
      <c r="AB27" s="889"/>
      <c r="AC27" s="874"/>
      <c r="AD27" s="874"/>
      <c r="AE27" s="874"/>
    </row>
    <row r="28" spans="1:31" ht="16.5" customHeight="1">
      <c r="A28" s="821" t="s">
        <v>205</v>
      </c>
      <c r="B28" s="822"/>
      <c r="C28" s="893" t="s">
        <v>43</v>
      </c>
      <c r="D28" s="894">
        <v>77</v>
      </c>
      <c r="E28" s="895">
        <v>52</v>
      </c>
      <c r="F28" s="923">
        <f t="shared" si="9"/>
        <v>67.53246753246754</v>
      </c>
      <c r="G28" s="894">
        <v>86</v>
      </c>
      <c r="H28" s="895">
        <v>51</v>
      </c>
      <c r="I28" s="923">
        <f t="shared" si="11"/>
        <v>59.30232558139535</v>
      </c>
      <c r="J28" s="894">
        <v>91</v>
      </c>
      <c r="K28" s="895">
        <v>50</v>
      </c>
      <c r="L28" s="924">
        <f t="shared" si="12"/>
        <v>54.94505494505495</v>
      </c>
      <c r="M28" s="894">
        <v>102</v>
      </c>
      <c r="N28" s="895">
        <v>60</v>
      </c>
      <c r="O28" s="924">
        <f>N28/M28*100</f>
        <v>58.82352941176471</v>
      </c>
      <c r="P28" s="925">
        <v>76</v>
      </c>
      <c r="Q28" s="926">
        <v>55</v>
      </c>
      <c r="R28" s="899">
        <f>Q28/P28*100</f>
        <v>72.36842105263158</v>
      </c>
      <c r="S28" s="925">
        <v>80</v>
      </c>
      <c r="T28" s="926">
        <v>60</v>
      </c>
      <c r="U28" s="896">
        <f>T28/S28*100</f>
        <v>75</v>
      </c>
      <c r="V28" s="925">
        <v>100</v>
      </c>
      <c r="W28" s="926">
        <v>78</v>
      </c>
      <c r="X28" s="896">
        <f>W28/V28*100</f>
        <v>78</v>
      </c>
      <c r="Y28" s="925">
        <v>115</v>
      </c>
      <c r="Z28" s="926">
        <v>80</v>
      </c>
      <c r="AA28" s="896">
        <f>Z28/Y28*100</f>
        <v>69.56521739130434</v>
      </c>
      <c r="AB28" s="889"/>
      <c r="AC28" s="874"/>
      <c r="AD28" s="874"/>
      <c r="AE28" s="874"/>
    </row>
    <row r="29" spans="1:31" ht="16.5" customHeight="1" thickBot="1">
      <c r="A29" s="863" t="s">
        <v>102</v>
      </c>
      <c r="B29" s="864"/>
      <c r="C29" s="927" t="s">
        <v>44</v>
      </c>
      <c r="D29" s="928">
        <v>71</v>
      </c>
      <c r="E29" s="929">
        <v>40</v>
      </c>
      <c r="F29" s="930">
        <f t="shared" si="9"/>
        <v>56.33802816901409</v>
      </c>
      <c r="G29" s="928">
        <v>91</v>
      </c>
      <c r="H29" s="929">
        <v>53</v>
      </c>
      <c r="I29" s="930">
        <f t="shared" si="11"/>
        <v>58.24175824175825</v>
      </c>
      <c r="J29" s="928">
        <v>90</v>
      </c>
      <c r="K29" s="929">
        <v>51</v>
      </c>
      <c r="L29" s="931">
        <f t="shared" si="12"/>
        <v>56.666666666666664</v>
      </c>
      <c r="M29" s="928">
        <v>98</v>
      </c>
      <c r="N29" s="929">
        <v>49</v>
      </c>
      <c r="O29" s="931">
        <f>N29/M29*100</f>
        <v>50</v>
      </c>
      <c r="P29" s="932">
        <v>92</v>
      </c>
      <c r="Q29" s="933">
        <v>76</v>
      </c>
      <c r="R29" s="934">
        <f>Q29/P29*100</f>
        <v>82.6086956521739</v>
      </c>
      <c r="S29" s="932">
        <v>111</v>
      </c>
      <c r="T29" s="933">
        <v>82</v>
      </c>
      <c r="U29" s="935">
        <f>T29/S29*100</f>
        <v>73.87387387387388</v>
      </c>
      <c r="V29" s="932">
        <v>127</v>
      </c>
      <c r="W29" s="933">
        <v>88</v>
      </c>
      <c r="X29" s="935">
        <f>W29/V29*100</f>
        <v>69.29133858267717</v>
      </c>
      <c r="Y29" s="932">
        <v>134</v>
      </c>
      <c r="Z29" s="933">
        <v>104</v>
      </c>
      <c r="AA29" s="935">
        <f>Z29/Y29*100</f>
        <v>77.61194029850746</v>
      </c>
      <c r="AB29" s="889"/>
      <c r="AC29" s="874"/>
      <c r="AD29" s="874"/>
      <c r="AE29" s="874"/>
    </row>
    <row r="30" spans="1:31" ht="15.75">
      <c r="A30" s="874" t="s">
        <v>215</v>
      </c>
      <c r="B30" s="874"/>
      <c r="C30" s="874"/>
      <c r="D30" s="874"/>
      <c r="E30" s="874"/>
      <c r="F30" s="875"/>
      <c r="G30" s="874"/>
      <c r="H30" s="874"/>
      <c r="I30" s="874"/>
      <c r="K30" s="874" t="s">
        <v>217</v>
      </c>
      <c r="L30" s="874"/>
      <c r="M30" s="874"/>
      <c r="N30" s="874"/>
      <c r="O30" s="874"/>
      <c r="P30" s="874"/>
      <c r="Q30" s="874"/>
      <c r="R30" s="874"/>
      <c r="S30" s="875" t="s">
        <v>218</v>
      </c>
      <c r="T30" s="874"/>
      <c r="U30" s="874"/>
      <c r="V30" s="874"/>
      <c r="W30" s="874"/>
      <c r="X30" s="874"/>
      <c r="Y30" s="874"/>
      <c r="Z30" s="874"/>
      <c r="AA30" s="874"/>
      <c r="AB30" s="936"/>
      <c r="AC30" s="874"/>
      <c r="AD30" s="874"/>
      <c r="AE30" s="874"/>
    </row>
    <row r="31" spans="1:31" ht="12.75">
      <c r="A31" s="874"/>
      <c r="B31" s="874"/>
      <c r="C31" s="874"/>
      <c r="D31" s="874"/>
      <c r="E31" s="874"/>
      <c r="F31" s="874"/>
      <c r="G31" s="874"/>
      <c r="H31" s="874"/>
      <c r="I31" s="874"/>
      <c r="J31" s="874"/>
      <c r="K31" s="874"/>
      <c r="P31" s="874"/>
      <c r="Q31" s="874"/>
      <c r="R31" s="874"/>
      <c r="S31" s="874"/>
      <c r="T31" s="874"/>
      <c r="U31" s="874"/>
      <c r="V31" s="874"/>
      <c r="W31" s="874"/>
      <c r="X31" s="874"/>
      <c r="Y31" s="874"/>
      <c r="Z31" s="874"/>
      <c r="AA31" s="874"/>
      <c r="AB31" s="142"/>
      <c r="AC31" s="874"/>
      <c r="AD31" s="874"/>
      <c r="AE31" s="874"/>
    </row>
    <row r="32" spans="1:31" ht="12.75">
      <c r="A32" s="874"/>
      <c r="B32" s="874"/>
      <c r="C32" s="874"/>
      <c r="D32" s="874"/>
      <c r="E32" s="874"/>
      <c r="F32" s="874"/>
      <c r="G32" s="874"/>
      <c r="H32" s="874"/>
      <c r="I32" s="874"/>
      <c r="J32" s="874"/>
      <c r="K32" s="874"/>
      <c r="L32" s="874"/>
      <c r="M32" s="874"/>
      <c r="N32" s="874"/>
      <c r="O32" s="874"/>
      <c r="P32" s="874"/>
      <c r="Q32" s="874"/>
      <c r="R32" s="874"/>
      <c r="S32" s="874"/>
      <c r="T32" s="874"/>
      <c r="U32" s="874"/>
      <c r="V32" s="874"/>
      <c r="W32" s="874"/>
      <c r="X32" s="874"/>
      <c r="Y32" s="874"/>
      <c r="Z32" s="876"/>
      <c r="AA32" s="874"/>
      <c r="AB32" s="142"/>
      <c r="AC32" s="874"/>
      <c r="AD32" s="874"/>
      <c r="AE32" s="874"/>
    </row>
    <row r="33" spans="1:31" ht="12.75">
      <c r="A33" s="874"/>
      <c r="B33" s="874"/>
      <c r="C33" s="874"/>
      <c r="D33" s="874"/>
      <c r="E33" s="874"/>
      <c r="F33" s="874"/>
      <c r="G33" s="874"/>
      <c r="H33" s="874"/>
      <c r="I33" s="874"/>
      <c r="J33" s="874"/>
      <c r="K33" s="874"/>
      <c r="L33" s="874"/>
      <c r="M33" s="874"/>
      <c r="N33" s="874"/>
      <c r="O33" s="874"/>
      <c r="P33" s="874"/>
      <c r="Q33" s="874"/>
      <c r="R33" s="874"/>
      <c r="S33" s="874"/>
      <c r="T33" s="874"/>
      <c r="U33" s="874"/>
      <c r="V33" s="874"/>
      <c r="W33" s="874"/>
      <c r="X33" s="874"/>
      <c r="Y33" s="874"/>
      <c r="Z33" s="874"/>
      <c r="AA33" s="874"/>
      <c r="AB33" s="142"/>
      <c r="AC33" s="874"/>
      <c r="AD33" s="874"/>
      <c r="AE33" s="874"/>
    </row>
    <row r="34" spans="1:31" ht="12.75">
      <c r="A34" s="874"/>
      <c r="B34" s="874"/>
      <c r="C34" s="874"/>
      <c r="D34" s="874"/>
      <c r="E34" s="874"/>
      <c r="F34" s="874"/>
      <c r="G34" s="874"/>
      <c r="H34" s="874"/>
      <c r="I34" s="874"/>
      <c r="J34" s="874"/>
      <c r="K34" s="874"/>
      <c r="L34" s="874"/>
      <c r="M34" s="874"/>
      <c r="N34" s="874"/>
      <c r="O34" s="874"/>
      <c r="P34" s="874"/>
      <c r="Q34" s="874"/>
      <c r="R34" s="874"/>
      <c r="S34" s="874"/>
      <c r="T34" s="874"/>
      <c r="U34" s="874"/>
      <c r="V34" s="874"/>
      <c r="W34" s="874"/>
      <c r="X34" s="874"/>
      <c r="Y34" s="874"/>
      <c r="Z34" s="874"/>
      <c r="AA34" s="874"/>
      <c r="AB34" s="142"/>
      <c r="AC34" s="874"/>
      <c r="AD34" s="874"/>
      <c r="AE34" s="874"/>
    </row>
    <row r="35" spans="1:31" ht="12.75">
      <c r="A35" s="874"/>
      <c r="B35" s="874"/>
      <c r="C35" s="874"/>
      <c r="D35" s="874"/>
      <c r="E35" s="874"/>
      <c r="F35" s="874"/>
      <c r="G35" s="874"/>
      <c r="H35" s="874"/>
      <c r="I35" s="874"/>
      <c r="J35" s="874"/>
      <c r="K35" s="874"/>
      <c r="L35" s="874"/>
      <c r="M35" s="874"/>
      <c r="N35" s="874"/>
      <c r="O35" s="874"/>
      <c r="P35" s="874"/>
      <c r="Q35" s="874"/>
      <c r="R35" s="874"/>
      <c r="S35" s="874"/>
      <c r="T35" s="874"/>
      <c r="U35" s="874"/>
      <c r="V35" s="874"/>
      <c r="W35" s="874"/>
      <c r="X35" s="874"/>
      <c r="Y35" s="874"/>
      <c r="Z35" s="874"/>
      <c r="AA35" s="874"/>
      <c r="AB35" s="142"/>
      <c r="AC35" s="874"/>
      <c r="AD35" s="874"/>
      <c r="AE35" s="874"/>
    </row>
    <row r="36" spans="1:31" ht="12.75">
      <c r="A36" s="874"/>
      <c r="B36" s="874"/>
      <c r="C36" s="874"/>
      <c r="D36" s="874"/>
      <c r="E36" s="874"/>
      <c r="F36" s="874"/>
      <c r="G36" s="874"/>
      <c r="H36" s="874"/>
      <c r="I36" s="874"/>
      <c r="J36" s="874"/>
      <c r="K36" s="874"/>
      <c r="L36" s="874"/>
      <c r="M36" s="874"/>
      <c r="N36" s="874"/>
      <c r="O36" s="874"/>
      <c r="P36" s="874"/>
      <c r="Q36" s="874"/>
      <c r="R36" s="874"/>
      <c r="S36" s="874"/>
      <c r="T36" s="874"/>
      <c r="U36" s="874"/>
      <c r="V36" s="874"/>
      <c r="W36" s="874"/>
      <c r="X36" s="874"/>
      <c r="Y36" s="874"/>
      <c r="Z36" s="874"/>
      <c r="AA36" s="874"/>
      <c r="AB36" s="142"/>
      <c r="AC36" s="874"/>
      <c r="AD36" s="874"/>
      <c r="AE36" s="874"/>
    </row>
    <row r="37" spans="1:31" ht="12.75">
      <c r="A37" s="874"/>
      <c r="B37" s="874"/>
      <c r="C37" s="874"/>
      <c r="D37" s="874"/>
      <c r="E37" s="874"/>
      <c r="F37" s="874"/>
      <c r="G37" s="874"/>
      <c r="H37" s="874"/>
      <c r="I37" s="874"/>
      <c r="J37" s="874"/>
      <c r="K37" s="874"/>
      <c r="L37" s="874"/>
      <c r="M37" s="874"/>
      <c r="N37" s="874"/>
      <c r="O37" s="874"/>
      <c r="P37" s="874"/>
      <c r="Q37" s="874"/>
      <c r="R37" s="874"/>
      <c r="S37" s="874"/>
      <c r="T37" s="874"/>
      <c r="U37" s="874"/>
      <c r="V37" s="874"/>
      <c r="W37" s="874"/>
      <c r="X37" s="874"/>
      <c r="Y37" s="874"/>
      <c r="Z37" s="874"/>
      <c r="AA37" s="874"/>
      <c r="AB37" s="142"/>
      <c r="AC37" s="874"/>
      <c r="AD37" s="874"/>
      <c r="AE37" s="874"/>
    </row>
    <row r="38" spans="1:31" ht="12.75">
      <c r="A38" s="874"/>
      <c r="B38" s="874"/>
      <c r="C38" s="874"/>
      <c r="D38" s="874"/>
      <c r="E38" s="874"/>
      <c r="F38" s="874"/>
      <c r="G38" s="874"/>
      <c r="H38" s="874"/>
      <c r="I38" s="874"/>
      <c r="J38" s="874"/>
      <c r="K38" s="874"/>
      <c r="L38" s="874"/>
      <c r="M38" s="874"/>
      <c r="N38" s="874"/>
      <c r="O38" s="874"/>
      <c r="P38" s="874"/>
      <c r="Q38" s="874"/>
      <c r="R38" s="874"/>
      <c r="S38" s="874"/>
      <c r="T38" s="874"/>
      <c r="U38" s="874"/>
      <c r="V38" s="874"/>
      <c r="W38" s="874"/>
      <c r="X38" s="874"/>
      <c r="Y38" s="874"/>
      <c r="Z38" s="874"/>
      <c r="AA38" s="874"/>
      <c r="AB38" s="142"/>
      <c r="AC38" s="874"/>
      <c r="AD38" s="874"/>
      <c r="AE38" s="874"/>
    </row>
    <row r="39" spans="18:25" ht="12.75">
      <c r="R39" s="874"/>
      <c r="S39" s="874"/>
      <c r="T39" s="874"/>
      <c r="U39" s="874"/>
      <c r="V39" s="874"/>
      <c r="W39" s="874"/>
      <c r="X39" s="874"/>
      <c r="Y39" s="874"/>
    </row>
  </sheetData>
  <sheetProtection/>
  <mergeCells count="9">
    <mergeCell ref="Y4:AA4"/>
    <mergeCell ref="A6:AA6"/>
    <mergeCell ref="A16:AA16"/>
    <mergeCell ref="A26:AA26"/>
    <mergeCell ref="A4:C5"/>
    <mergeCell ref="S4:U4"/>
    <mergeCell ref="M4:O4"/>
    <mergeCell ref="P4:R4"/>
    <mergeCell ref="V4:X4"/>
  </mergeCells>
  <printOptions/>
  <pageMargins left="0.39" right="0.23" top="0.68" bottom="0.26" header="0.31" footer="0.16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26.140625" style="938" customWidth="1"/>
    <col min="2" max="2" width="9.8515625" style="938" customWidth="1"/>
    <col min="3" max="3" width="9.421875" style="937" customWidth="1"/>
    <col min="4" max="7" width="7.00390625" style="937" customWidth="1"/>
    <col min="8" max="8" width="10.421875" style="937" customWidth="1"/>
    <col min="9" max="9" width="9.7109375" style="937" customWidth="1"/>
    <col min="10" max="10" width="6.57421875" style="937" customWidth="1"/>
    <col min="11" max="11" width="8.140625" style="937" customWidth="1"/>
    <col min="12" max="12" width="14.421875" style="937" customWidth="1"/>
    <col min="13" max="13" width="9.7109375" style="937" customWidth="1"/>
    <col min="14" max="14" width="6.7109375" style="937" customWidth="1"/>
    <col min="15" max="16384" width="9.140625" style="937" customWidth="1"/>
  </cols>
  <sheetData>
    <row r="1" spans="1:2" ht="19.5" customHeight="1">
      <c r="A1" s="937" t="s">
        <v>364</v>
      </c>
      <c r="B1" s="937"/>
    </row>
    <row r="2" ht="1.5" customHeight="1"/>
    <row r="3" spans="1:13" ht="16.5" customHeight="1">
      <c r="A3" s="1535" t="s">
        <v>219</v>
      </c>
      <c r="B3" s="1546" t="s">
        <v>5</v>
      </c>
      <c r="C3" s="1543" t="s">
        <v>258</v>
      </c>
      <c r="D3" s="1544"/>
      <c r="E3" s="1544"/>
      <c r="F3" s="1544"/>
      <c r="G3" s="1544"/>
      <c r="H3" s="1544"/>
      <c r="I3" s="1544"/>
      <c r="J3" s="1545"/>
      <c r="K3" s="983" t="s">
        <v>5</v>
      </c>
      <c r="L3" s="1538" t="s">
        <v>220</v>
      </c>
      <c r="M3" s="1535" t="s">
        <v>221</v>
      </c>
    </row>
    <row r="4" spans="1:13" ht="10.5" customHeight="1">
      <c r="A4" s="1536"/>
      <c r="B4" s="1547"/>
      <c r="C4" s="939"/>
      <c r="D4" s="940"/>
      <c r="E4" s="941"/>
      <c r="F4" s="941"/>
      <c r="G4" s="941"/>
      <c r="H4" s="941"/>
      <c r="I4" s="941"/>
      <c r="J4" s="942"/>
      <c r="K4" s="1549" t="s">
        <v>257</v>
      </c>
      <c r="L4" s="1539"/>
      <c r="M4" s="1541"/>
    </row>
    <row r="5" spans="1:13" s="938" customFormat="1" ht="13.5" customHeight="1">
      <c r="A5" s="1537"/>
      <c r="B5" s="1548"/>
      <c r="C5" s="943" t="s">
        <v>254</v>
      </c>
      <c r="D5" s="944" t="s">
        <v>222</v>
      </c>
      <c r="E5" s="945" t="s">
        <v>223</v>
      </c>
      <c r="F5" s="945" t="s">
        <v>224</v>
      </c>
      <c r="G5" s="945" t="s">
        <v>225</v>
      </c>
      <c r="H5" s="945" t="s">
        <v>226</v>
      </c>
      <c r="I5" s="945" t="s">
        <v>227</v>
      </c>
      <c r="J5" s="946" t="s">
        <v>228</v>
      </c>
      <c r="K5" s="1550"/>
      <c r="L5" s="1540"/>
      <c r="M5" s="1542"/>
    </row>
    <row r="6" spans="1:13" s="938" customFormat="1" ht="12.75" customHeight="1">
      <c r="A6" s="947" t="s">
        <v>278</v>
      </c>
      <c r="B6" s="953">
        <f>SUM(C6:M6)-K6</f>
        <v>4353</v>
      </c>
      <c r="C6" s="948">
        <v>230</v>
      </c>
      <c r="D6" s="1018">
        <v>18</v>
      </c>
      <c r="E6" s="949">
        <v>0</v>
      </c>
      <c r="F6" s="950">
        <v>0</v>
      </c>
      <c r="G6" s="950">
        <v>0</v>
      </c>
      <c r="H6" s="950">
        <v>0</v>
      </c>
      <c r="I6" s="950">
        <v>0</v>
      </c>
      <c r="J6" s="951">
        <v>0</v>
      </c>
      <c r="K6" s="986">
        <f>SUM(C6:J6)</f>
        <v>248</v>
      </c>
      <c r="L6" s="952">
        <v>3568</v>
      </c>
      <c r="M6" s="953">
        <v>537</v>
      </c>
    </row>
    <row r="7" spans="1:13" s="938" customFormat="1" ht="12.75" customHeight="1">
      <c r="A7" s="947" t="s">
        <v>229</v>
      </c>
      <c r="B7" s="958">
        <f aca="true" t="shared" si="0" ref="B7:B36">SUM(C7:M7)-K7</f>
        <v>4684</v>
      </c>
      <c r="C7" s="954">
        <v>1333</v>
      </c>
      <c r="D7" s="955">
        <v>762</v>
      </c>
      <c r="E7" s="950">
        <v>0</v>
      </c>
      <c r="F7" s="950">
        <v>0</v>
      </c>
      <c r="G7" s="956">
        <v>271</v>
      </c>
      <c r="H7" s="955">
        <v>357</v>
      </c>
      <c r="I7" s="950">
        <v>0</v>
      </c>
      <c r="J7" s="951">
        <v>0</v>
      </c>
      <c r="K7" s="984">
        <f aca="true" t="shared" si="1" ref="K7:K36">SUM(C7:J7)</f>
        <v>2723</v>
      </c>
      <c r="L7" s="957">
        <v>1125</v>
      </c>
      <c r="M7" s="958">
        <v>836</v>
      </c>
    </row>
    <row r="8" spans="1:13" s="938" customFormat="1" ht="12.75" customHeight="1">
      <c r="A8" s="947" t="s">
        <v>230</v>
      </c>
      <c r="B8" s="958">
        <f t="shared" si="0"/>
        <v>351</v>
      </c>
      <c r="C8" s="954">
        <v>334</v>
      </c>
      <c r="D8" s="950">
        <v>0</v>
      </c>
      <c r="E8" s="950">
        <v>0</v>
      </c>
      <c r="F8" s="950">
        <v>0</v>
      </c>
      <c r="G8" s="950">
        <v>0</v>
      </c>
      <c r="H8" s="950">
        <v>0</v>
      </c>
      <c r="I8" s="950">
        <v>0</v>
      </c>
      <c r="J8" s="951">
        <v>0</v>
      </c>
      <c r="K8" s="984">
        <f t="shared" si="1"/>
        <v>334</v>
      </c>
      <c r="L8" s="960">
        <v>0</v>
      </c>
      <c r="M8" s="958">
        <v>17</v>
      </c>
    </row>
    <row r="9" spans="1:13" s="938" customFormat="1" ht="12.75" customHeight="1">
      <c r="A9" s="947" t="s">
        <v>231</v>
      </c>
      <c r="B9" s="958">
        <f t="shared" si="0"/>
        <v>103</v>
      </c>
      <c r="C9" s="962">
        <v>0</v>
      </c>
      <c r="D9" s="950">
        <v>0</v>
      </c>
      <c r="E9" s="950">
        <v>0</v>
      </c>
      <c r="F9" s="950">
        <v>0</v>
      </c>
      <c r="G9" s="950">
        <v>0</v>
      </c>
      <c r="H9" s="950">
        <v>0</v>
      </c>
      <c r="I9" s="950">
        <v>0</v>
      </c>
      <c r="J9" s="951">
        <v>0</v>
      </c>
      <c r="K9" s="961">
        <v>0</v>
      </c>
      <c r="L9" s="960">
        <v>0</v>
      </c>
      <c r="M9" s="958">
        <v>103</v>
      </c>
    </row>
    <row r="10" spans="1:13" s="938" customFormat="1" ht="12.75" customHeight="1">
      <c r="A10" s="947" t="s">
        <v>232</v>
      </c>
      <c r="B10" s="958">
        <f t="shared" si="0"/>
        <v>535</v>
      </c>
      <c r="C10" s="962">
        <v>0</v>
      </c>
      <c r="D10" s="950">
        <v>0</v>
      </c>
      <c r="E10" s="950">
        <v>0</v>
      </c>
      <c r="F10" s="956">
        <v>136</v>
      </c>
      <c r="G10" s="950">
        <v>0</v>
      </c>
      <c r="H10" s="950">
        <v>0</v>
      </c>
      <c r="I10" s="963">
        <v>0</v>
      </c>
      <c r="J10" s="951">
        <v>0</v>
      </c>
      <c r="K10" s="984">
        <f t="shared" si="1"/>
        <v>136</v>
      </c>
      <c r="L10" s="957">
        <v>275</v>
      </c>
      <c r="M10" s="958">
        <v>124</v>
      </c>
    </row>
    <row r="11" spans="1:13" s="938" customFormat="1" ht="12.75" customHeight="1">
      <c r="A11" s="947" t="s">
        <v>233</v>
      </c>
      <c r="B11" s="958">
        <f t="shared" si="0"/>
        <v>814</v>
      </c>
      <c r="C11" s="954">
        <v>418</v>
      </c>
      <c r="D11" s="955">
        <v>217</v>
      </c>
      <c r="E11" s="950">
        <v>0</v>
      </c>
      <c r="F11" s="950">
        <v>0</v>
      </c>
      <c r="G11" s="963">
        <v>0</v>
      </c>
      <c r="H11" s="950">
        <v>0</v>
      </c>
      <c r="I11" s="963">
        <v>0</v>
      </c>
      <c r="J11" s="951">
        <v>0</v>
      </c>
      <c r="K11" s="984">
        <f t="shared" si="1"/>
        <v>635</v>
      </c>
      <c r="L11" s="958">
        <v>62</v>
      </c>
      <c r="M11" s="958">
        <v>117</v>
      </c>
    </row>
    <row r="12" spans="1:13" s="938" customFormat="1" ht="12.75" customHeight="1">
      <c r="A12" s="947" t="s">
        <v>234</v>
      </c>
      <c r="B12" s="958">
        <f t="shared" si="0"/>
        <v>2265</v>
      </c>
      <c r="C12" s="954">
        <v>150</v>
      </c>
      <c r="D12" s="950">
        <v>0</v>
      </c>
      <c r="E12" s="950">
        <v>0</v>
      </c>
      <c r="F12" s="950">
        <v>0</v>
      </c>
      <c r="G12" s="956">
        <v>53</v>
      </c>
      <c r="H12" s="956">
        <v>14</v>
      </c>
      <c r="I12" s="963">
        <v>0</v>
      </c>
      <c r="J12" s="951">
        <v>0</v>
      </c>
      <c r="K12" s="984">
        <f t="shared" si="1"/>
        <v>217</v>
      </c>
      <c r="L12" s="957">
        <v>1032</v>
      </c>
      <c r="M12" s="958">
        <v>1016</v>
      </c>
    </row>
    <row r="13" spans="1:13" s="938" customFormat="1" ht="12.75" customHeight="1">
      <c r="A13" s="947" t="s">
        <v>235</v>
      </c>
      <c r="B13" s="958">
        <f t="shared" si="0"/>
        <v>427</v>
      </c>
      <c r="C13" s="954">
        <v>89</v>
      </c>
      <c r="D13" s="955">
        <v>45</v>
      </c>
      <c r="E13" s="950">
        <v>0</v>
      </c>
      <c r="F13" s="950">
        <v>0</v>
      </c>
      <c r="G13" s="956">
        <v>1</v>
      </c>
      <c r="H13" s="950">
        <v>0</v>
      </c>
      <c r="I13" s="963">
        <v>0</v>
      </c>
      <c r="J13" s="951">
        <v>0</v>
      </c>
      <c r="K13" s="984">
        <f t="shared" si="1"/>
        <v>135</v>
      </c>
      <c r="L13" s="957">
        <v>137</v>
      </c>
      <c r="M13" s="958">
        <v>155</v>
      </c>
    </row>
    <row r="14" spans="1:13" s="938" customFormat="1" ht="12.75" customHeight="1">
      <c r="A14" s="947" t="s">
        <v>236</v>
      </c>
      <c r="B14" s="958">
        <f t="shared" si="0"/>
        <v>301</v>
      </c>
      <c r="C14" s="962">
        <v>0</v>
      </c>
      <c r="D14" s="950">
        <v>0</v>
      </c>
      <c r="E14" s="950">
        <v>0</v>
      </c>
      <c r="F14" s="950">
        <v>0</v>
      </c>
      <c r="G14" s="950">
        <v>0</v>
      </c>
      <c r="H14" s="950">
        <v>0</v>
      </c>
      <c r="I14" s="963">
        <v>0</v>
      </c>
      <c r="J14" s="951">
        <v>0</v>
      </c>
      <c r="K14" s="961">
        <v>0</v>
      </c>
      <c r="L14" s="957">
        <v>257</v>
      </c>
      <c r="M14" s="958">
        <v>44</v>
      </c>
    </row>
    <row r="15" spans="1:13" s="938" customFormat="1" ht="12.75" customHeight="1">
      <c r="A15" s="947" t="s">
        <v>237</v>
      </c>
      <c r="B15" s="958">
        <f t="shared" si="0"/>
        <v>732</v>
      </c>
      <c r="C15" s="954">
        <v>430</v>
      </c>
      <c r="D15" s="950">
        <v>0</v>
      </c>
      <c r="E15" s="950">
        <v>0</v>
      </c>
      <c r="F15" s="950">
        <v>0</v>
      </c>
      <c r="G15" s="950">
        <v>0</v>
      </c>
      <c r="H15" s="950">
        <v>0</v>
      </c>
      <c r="I15" s="963">
        <v>0</v>
      </c>
      <c r="J15" s="951">
        <v>0</v>
      </c>
      <c r="K15" s="984">
        <f t="shared" si="1"/>
        <v>430</v>
      </c>
      <c r="L15" s="959">
        <v>99</v>
      </c>
      <c r="M15" s="958">
        <v>203</v>
      </c>
    </row>
    <row r="16" spans="1:13" s="938" customFormat="1" ht="12.75" customHeight="1">
      <c r="A16" s="947" t="s">
        <v>238</v>
      </c>
      <c r="B16" s="958">
        <f t="shared" si="0"/>
        <v>4187</v>
      </c>
      <c r="C16" s="954">
        <v>10</v>
      </c>
      <c r="D16" s="955">
        <v>83</v>
      </c>
      <c r="E16" s="964">
        <v>3959</v>
      </c>
      <c r="F16" s="950">
        <v>0</v>
      </c>
      <c r="G16" s="956">
        <v>3</v>
      </c>
      <c r="H16" s="950">
        <v>0</v>
      </c>
      <c r="I16" s="963">
        <v>0</v>
      </c>
      <c r="J16" s="951">
        <v>0</v>
      </c>
      <c r="K16" s="984">
        <f t="shared" si="1"/>
        <v>4055</v>
      </c>
      <c r="L16" s="959">
        <v>20</v>
      </c>
      <c r="M16" s="958">
        <v>112</v>
      </c>
    </row>
    <row r="17" spans="1:13" s="938" customFormat="1" ht="12.75" customHeight="1">
      <c r="A17" s="947" t="s">
        <v>239</v>
      </c>
      <c r="B17" s="958">
        <f t="shared" si="0"/>
        <v>2120</v>
      </c>
      <c r="C17" s="954">
        <v>948</v>
      </c>
      <c r="D17" s="950">
        <v>0</v>
      </c>
      <c r="E17" s="965">
        <v>0</v>
      </c>
      <c r="F17" s="950">
        <v>0</v>
      </c>
      <c r="G17" s="950">
        <v>0</v>
      </c>
      <c r="H17" s="955">
        <v>292</v>
      </c>
      <c r="I17" s="956">
        <v>55</v>
      </c>
      <c r="J17" s="951">
        <v>0</v>
      </c>
      <c r="K17" s="984">
        <f t="shared" si="1"/>
        <v>1295</v>
      </c>
      <c r="L17" s="957">
        <v>23</v>
      </c>
      <c r="M17" s="958">
        <v>802</v>
      </c>
    </row>
    <row r="18" spans="1:13" s="938" customFormat="1" ht="12.75" customHeight="1">
      <c r="A18" s="1019" t="s">
        <v>277</v>
      </c>
      <c r="B18" s="958">
        <f t="shared" si="0"/>
        <v>535</v>
      </c>
      <c r="C18" s="954">
        <v>313</v>
      </c>
      <c r="D18" s="955">
        <v>83</v>
      </c>
      <c r="E18" s="965">
        <v>0</v>
      </c>
      <c r="F18" s="950">
        <v>0</v>
      </c>
      <c r="G18" s="950">
        <v>0</v>
      </c>
      <c r="H18" s="950">
        <v>0</v>
      </c>
      <c r="I18" s="950">
        <v>0</v>
      </c>
      <c r="J18" s="951">
        <v>0</v>
      </c>
      <c r="K18" s="984">
        <f t="shared" si="1"/>
        <v>396</v>
      </c>
      <c r="L18" s="957">
        <v>1</v>
      </c>
      <c r="M18" s="958">
        <v>138</v>
      </c>
    </row>
    <row r="19" spans="1:13" s="938" customFormat="1" ht="12.75" customHeight="1">
      <c r="A19" s="947" t="s">
        <v>240</v>
      </c>
      <c r="B19" s="958">
        <f t="shared" si="0"/>
        <v>566</v>
      </c>
      <c r="C19" s="954">
        <v>233</v>
      </c>
      <c r="D19" s="950">
        <v>0</v>
      </c>
      <c r="E19" s="950">
        <v>0</v>
      </c>
      <c r="F19" s="955">
        <v>124</v>
      </c>
      <c r="G19" s="950">
        <v>0</v>
      </c>
      <c r="H19" s="950">
        <v>0</v>
      </c>
      <c r="I19" s="950">
        <v>0</v>
      </c>
      <c r="J19" s="951">
        <v>0</v>
      </c>
      <c r="K19" s="984">
        <f t="shared" si="1"/>
        <v>357</v>
      </c>
      <c r="L19" s="957">
        <v>9</v>
      </c>
      <c r="M19" s="958">
        <v>200</v>
      </c>
    </row>
    <row r="20" spans="1:13" s="938" customFormat="1" ht="12.75" customHeight="1">
      <c r="A20" s="947" t="s">
        <v>241</v>
      </c>
      <c r="B20" s="958">
        <f t="shared" si="0"/>
        <v>3700</v>
      </c>
      <c r="C20" s="954">
        <v>943</v>
      </c>
      <c r="D20" s="955">
        <v>346</v>
      </c>
      <c r="E20" s="950">
        <v>0</v>
      </c>
      <c r="F20" s="950">
        <v>0</v>
      </c>
      <c r="G20" s="955">
        <v>11</v>
      </c>
      <c r="H20" s="955">
        <v>229</v>
      </c>
      <c r="I20" s="955">
        <v>113</v>
      </c>
      <c r="J20" s="951">
        <v>0</v>
      </c>
      <c r="K20" s="984">
        <f t="shared" si="1"/>
        <v>1642</v>
      </c>
      <c r="L20" s="957">
        <v>1172</v>
      </c>
      <c r="M20" s="958">
        <v>886</v>
      </c>
    </row>
    <row r="21" spans="1:13" s="938" customFormat="1" ht="12.75" customHeight="1">
      <c r="A21" s="966" t="s">
        <v>242</v>
      </c>
      <c r="B21" s="958">
        <f t="shared" si="0"/>
        <v>1389</v>
      </c>
      <c r="C21" s="954">
        <v>322</v>
      </c>
      <c r="D21" s="950">
        <v>0</v>
      </c>
      <c r="E21" s="950">
        <v>0</v>
      </c>
      <c r="F21" s="955">
        <v>315</v>
      </c>
      <c r="G21" s="955">
        <v>139</v>
      </c>
      <c r="H21" s="950">
        <v>0</v>
      </c>
      <c r="I21" s="950">
        <v>0</v>
      </c>
      <c r="J21" s="951">
        <v>0</v>
      </c>
      <c r="K21" s="984">
        <f t="shared" si="1"/>
        <v>776</v>
      </c>
      <c r="L21" s="957">
        <v>194</v>
      </c>
      <c r="M21" s="958">
        <v>419</v>
      </c>
    </row>
    <row r="22" spans="1:13" s="938" customFormat="1" ht="12.75" customHeight="1">
      <c r="A22" s="947" t="s">
        <v>243</v>
      </c>
      <c r="B22" s="958">
        <f t="shared" si="0"/>
        <v>1067</v>
      </c>
      <c r="C22" s="954">
        <v>243</v>
      </c>
      <c r="D22" s="950">
        <v>0</v>
      </c>
      <c r="E22" s="950">
        <v>0</v>
      </c>
      <c r="F22" s="950">
        <v>0</v>
      </c>
      <c r="G22" s="950">
        <v>0</v>
      </c>
      <c r="H22" s="950">
        <v>0</v>
      </c>
      <c r="I22" s="950">
        <v>0</v>
      </c>
      <c r="J22" s="951">
        <v>0</v>
      </c>
      <c r="K22" s="984">
        <f t="shared" si="1"/>
        <v>243</v>
      </c>
      <c r="L22" s="957">
        <v>354</v>
      </c>
      <c r="M22" s="958">
        <v>470</v>
      </c>
    </row>
    <row r="23" spans="1:13" s="938" customFormat="1" ht="12.75" customHeight="1">
      <c r="A23" s="947" t="s">
        <v>244</v>
      </c>
      <c r="B23" s="958">
        <f t="shared" si="0"/>
        <v>436</v>
      </c>
      <c r="C23" s="954">
        <v>195</v>
      </c>
      <c r="D23" s="955">
        <v>17</v>
      </c>
      <c r="E23" s="950">
        <v>0</v>
      </c>
      <c r="F23" s="950">
        <v>0</v>
      </c>
      <c r="G23" s="950">
        <v>0</v>
      </c>
      <c r="H23" s="950">
        <v>0</v>
      </c>
      <c r="I23" s="950">
        <v>0</v>
      </c>
      <c r="J23" s="951">
        <v>0</v>
      </c>
      <c r="K23" s="984">
        <f t="shared" si="1"/>
        <v>212</v>
      </c>
      <c r="L23" s="957">
        <v>64</v>
      </c>
      <c r="M23" s="958">
        <v>160</v>
      </c>
    </row>
    <row r="24" spans="1:13" s="938" customFormat="1" ht="12.75" customHeight="1">
      <c r="A24" s="947" t="s">
        <v>281</v>
      </c>
      <c r="B24" s="958">
        <f t="shared" si="0"/>
        <v>1834</v>
      </c>
      <c r="C24" s="954">
        <v>59</v>
      </c>
      <c r="D24" s="950">
        <v>0</v>
      </c>
      <c r="E24" s="965">
        <v>0</v>
      </c>
      <c r="F24" s="950">
        <v>0</v>
      </c>
      <c r="G24" s="950">
        <v>0</v>
      </c>
      <c r="H24" s="950">
        <v>0</v>
      </c>
      <c r="I24" s="950">
        <v>0</v>
      </c>
      <c r="J24" s="967">
        <v>97</v>
      </c>
      <c r="K24" s="984">
        <f t="shared" si="1"/>
        <v>156</v>
      </c>
      <c r="L24" s="957">
        <v>622</v>
      </c>
      <c r="M24" s="958">
        <v>1056</v>
      </c>
    </row>
    <row r="25" spans="1:13" s="938" customFormat="1" ht="12.75" customHeight="1">
      <c r="A25" s="947" t="s">
        <v>245</v>
      </c>
      <c r="B25" s="958">
        <f t="shared" si="0"/>
        <v>165</v>
      </c>
      <c r="C25" s="954">
        <v>13</v>
      </c>
      <c r="D25" s="950">
        <v>0</v>
      </c>
      <c r="E25" s="965">
        <v>0</v>
      </c>
      <c r="F25" s="950">
        <v>0</v>
      </c>
      <c r="G25" s="950">
        <v>0</v>
      </c>
      <c r="H25" s="950">
        <v>0</v>
      </c>
      <c r="I25" s="950">
        <v>0</v>
      </c>
      <c r="J25" s="951">
        <v>0</v>
      </c>
      <c r="K25" s="984">
        <f t="shared" si="1"/>
        <v>13</v>
      </c>
      <c r="L25" s="957">
        <v>6</v>
      </c>
      <c r="M25" s="958">
        <v>146</v>
      </c>
    </row>
    <row r="26" spans="1:13" s="938" customFormat="1" ht="12.75" customHeight="1">
      <c r="A26" s="947" t="s">
        <v>246</v>
      </c>
      <c r="B26" s="958">
        <f t="shared" si="0"/>
        <v>91</v>
      </c>
      <c r="C26" s="954">
        <v>91</v>
      </c>
      <c r="D26" s="950">
        <v>0</v>
      </c>
      <c r="E26" s="965">
        <v>0</v>
      </c>
      <c r="F26" s="950">
        <v>0</v>
      </c>
      <c r="G26" s="950">
        <v>0</v>
      </c>
      <c r="H26" s="950">
        <v>0</v>
      </c>
      <c r="I26" s="950">
        <v>0</v>
      </c>
      <c r="J26" s="951">
        <v>0</v>
      </c>
      <c r="K26" s="984">
        <f t="shared" si="1"/>
        <v>91</v>
      </c>
      <c r="L26" s="960">
        <v>0</v>
      </c>
      <c r="M26" s="961">
        <v>0</v>
      </c>
    </row>
    <row r="27" spans="1:13" s="938" customFormat="1" ht="12.75" customHeight="1">
      <c r="A27" s="947" t="s">
        <v>276</v>
      </c>
      <c r="B27" s="958">
        <f>SUM(C27:M27)-K27</f>
        <v>24</v>
      </c>
      <c r="C27" s="950">
        <v>0</v>
      </c>
      <c r="D27" s="950">
        <v>0</v>
      </c>
      <c r="E27" s="965">
        <v>0</v>
      </c>
      <c r="F27" s="950">
        <v>0</v>
      </c>
      <c r="G27" s="950">
        <v>0</v>
      </c>
      <c r="H27" s="950">
        <v>0</v>
      </c>
      <c r="I27" s="950">
        <v>0</v>
      </c>
      <c r="J27" s="951">
        <v>0</v>
      </c>
      <c r="K27" s="961">
        <v>0</v>
      </c>
      <c r="L27" s="960">
        <v>0</v>
      </c>
      <c r="M27" s="958">
        <v>24</v>
      </c>
    </row>
    <row r="28" spans="1:13" s="938" customFormat="1" ht="12.75" customHeight="1">
      <c r="A28" s="947" t="s">
        <v>247</v>
      </c>
      <c r="B28" s="958">
        <f t="shared" si="0"/>
        <v>115</v>
      </c>
      <c r="C28" s="950">
        <v>0</v>
      </c>
      <c r="D28" s="950">
        <v>0</v>
      </c>
      <c r="E28" s="950">
        <v>0</v>
      </c>
      <c r="F28" s="950">
        <v>0</v>
      </c>
      <c r="G28" s="950">
        <v>0</v>
      </c>
      <c r="H28" s="950">
        <v>0</v>
      </c>
      <c r="I28" s="950">
        <v>0</v>
      </c>
      <c r="J28" s="951">
        <v>0</v>
      </c>
      <c r="K28" s="961">
        <v>0</v>
      </c>
      <c r="L28" s="957">
        <v>112</v>
      </c>
      <c r="M28" s="958">
        <v>3</v>
      </c>
    </row>
    <row r="29" spans="1:13" s="938" customFormat="1" ht="12.75" customHeight="1">
      <c r="A29" s="947" t="s">
        <v>248</v>
      </c>
      <c r="B29" s="958">
        <f t="shared" si="0"/>
        <v>204</v>
      </c>
      <c r="C29" s="954">
        <v>204</v>
      </c>
      <c r="D29" s="950">
        <v>0</v>
      </c>
      <c r="E29" s="950">
        <v>0</v>
      </c>
      <c r="F29" s="950">
        <v>0</v>
      </c>
      <c r="G29" s="950">
        <v>0</v>
      </c>
      <c r="H29" s="950">
        <v>0</v>
      </c>
      <c r="I29" s="965">
        <v>0</v>
      </c>
      <c r="J29" s="951">
        <v>0</v>
      </c>
      <c r="K29" s="984">
        <f t="shared" si="1"/>
        <v>204</v>
      </c>
      <c r="L29" s="968">
        <v>0</v>
      </c>
      <c r="M29" s="968">
        <v>0</v>
      </c>
    </row>
    <row r="30" spans="1:13" s="938" customFormat="1" ht="12.75" customHeight="1">
      <c r="A30" s="947" t="s">
        <v>279</v>
      </c>
      <c r="B30" s="958">
        <f>SUM(C30:M30)-K30</f>
        <v>12</v>
      </c>
      <c r="C30" s="954">
        <v>12</v>
      </c>
      <c r="D30" s="950">
        <v>0</v>
      </c>
      <c r="E30" s="950">
        <v>0</v>
      </c>
      <c r="F30" s="950">
        <v>0</v>
      </c>
      <c r="G30" s="950">
        <v>0</v>
      </c>
      <c r="H30" s="950">
        <v>0</v>
      </c>
      <c r="I30" s="965">
        <v>0</v>
      </c>
      <c r="J30" s="951">
        <v>0</v>
      </c>
      <c r="K30" s="984">
        <f t="shared" si="1"/>
        <v>12</v>
      </c>
      <c r="L30" s="968">
        <v>0</v>
      </c>
      <c r="M30" s="968">
        <v>0</v>
      </c>
    </row>
    <row r="31" spans="1:13" s="938" customFormat="1" ht="12.75" customHeight="1">
      <c r="A31" s="947" t="s">
        <v>249</v>
      </c>
      <c r="B31" s="958">
        <f t="shared" si="0"/>
        <v>1264</v>
      </c>
      <c r="C31" s="954">
        <v>444</v>
      </c>
      <c r="D31" s="950">
        <v>0</v>
      </c>
      <c r="E31" s="950">
        <v>0</v>
      </c>
      <c r="F31" s="950">
        <v>0</v>
      </c>
      <c r="G31" s="950">
        <v>0</v>
      </c>
      <c r="H31" s="950">
        <v>0</v>
      </c>
      <c r="I31" s="965">
        <v>0</v>
      </c>
      <c r="J31" s="951">
        <v>0</v>
      </c>
      <c r="K31" s="984">
        <f t="shared" si="1"/>
        <v>444</v>
      </c>
      <c r="L31" s="957">
        <v>14</v>
      </c>
      <c r="M31" s="958">
        <v>806</v>
      </c>
    </row>
    <row r="32" spans="1:13" s="938" customFormat="1" ht="12.75" customHeight="1">
      <c r="A32" s="947" t="s">
        <v>250</v>
      </c>
      <c r="B32" s="958">
        <f t="shared" si="0"/>
        <v>691</v>
      </c>
      <c r="C32" s="1020">
        <v>355</v>
      </c>
      <c r="D32" s="957">
        <v>16</v>
      </c>
      <c r="E32" s="950">
        <v>0</v>
      </c>
      <c r="F32" s="950">
        <v>0</v>
      </c>
      <c r="G32" s="950">
        <v>0</v>
      </c>
      <c r="H32" s="950">
        <v>0</v>
      </c>
      <c r="I32" s="965">
        <v>0</v>
      </c>
      <c r="J32" s="951">
        <v>0</v>
      </c>
      <c r="K32" s="984">
        <f t="shared" si="1"/>
        <v>371</v>
      </c>
      <c r="L32" s="957">
        <v>113</v>
      </c>
      <c r="M32" s="958">
        <v>207</v>
      </c>
    </row>
    <row r="33" spans="1:13" s="938" customFormat="1" ht="12.75" customHeight="1">
      <c r="A33" s="947" t="s">
        <v>251</v>
      </c>
      <c r="B33" s="958">
        <f t="shared" si="0"/>
        <v>363</v>
      </c>
      <c r="C33" s="954">
        <v>112</v>
      </c>
      <c r="D33" s="950">
        <v>0</v>
      </c>
      <c r="E33" s="950">
        <v>0</v>
      </c>
      <c r="F33" s="950">
        <v>0</v>
      </c>
      <c r="G33" s="950">
        <v>0</v>
      </c>
      <c r="H33" s="950">
        <v>0</v>
      </c>
      <c r="I33" s="964">
        <v>74</v>
      </c>
      <c r="J33" s="951">
        <v>0</v>
      </c>
      <c r="K33" s="984">
        <f t="shared" si="1"/>
        <v>186</v>
      </c>
      <c r="L33" s="964">
        <v>77</v>
      </c>
      <c r="M33" s="958">
        <v>100</v>
      </c>
    </row>
    <row r="34" spans="1:13" s="938" customFormat="1" ht="12.75" customHeight="1">
      <c r="A34" s="947" t="s">
        <v>252</v>
      </c>
      <c r="B34" s="958">
        <f t="shared" si="0"/>
        <v>1268</v>
      </c>
      <c r="C34" s="954">
        <v>159</v>
      </c>
      <c r="D34" s="955">
        <v>237</v>
      </c>
      <c r="E34" s="950">
        <v>0</v>
      </c>
      <c r="F34" s="950">
        <v>0</v>
      </c>
      <c r="G34" s="955"/>
      <c r="H34" s="950">
        <v>0</v>
      </c>
      <c r="I34" s="955">
        <v>136</v>
      </c>
      <c r="J34" s="951">
        <v>0</v>
      </c>
      <c r="K34" s="984">
        <f t="shared" si="1"/>
        <v>532</v>
      </c>
      <c r="L34" s="959">
        <v>143</v>
      </c>
      <c r="M34" s="958">
        <v>593</v>
      </c>
    </row>
    <row r="35" spans="1:13" s="938" customFormat="1" ht="12.75" customHeight="1">
      <c r="A35" s="947" t="s">
        <v>253</v>
      </c>
      <c r="B35" s="958">
        <f t="shared" si="0"/>
        <v>427</v>
      </c>
      <c r="C35" s="954">
        <v>22</v>
      </c>
      <c r="D35" s="955">
        <v>15</v>
      </c>
      <c r="E35" s="950">
        <v>0</v>
      </c>
      <c r="F35" s="950">
        <v>0</v>
      </c>
      <c r="G35" s="950">
        <v>0</v>
      </c>
      <c r="H35" s="950">
        <v>0</v>
      </c>
      <c r="I35" s="950">
        <v>0</v>
      </c>
      <c r="J35" s="951">
        <v>0</v>
      </c>
      <c r="K35" s="984">
        <f t="shared" si="1"/>
        <v>37</v>
      </c>
      <c r="L35" s="959">
        <v>133</v>
      </c>
      <c r="M35" s="958">
        <v>257</v>
      </c>
    </row>
    <row r="36" spans="1:13" s="938" customFormat="1" ht="16.5" customHeight="1">
      <c r="A36" s="969" t="s">
        <v>5</v>
      </c>
      <c r="B36" s="974">
        <f t="shared" si="0"/>
        <v>35023</v>
      </c>
      <c r="C36" s="970">
        <f aca="true" t="shared" si="2" ref="C36:J36">SUM(C6:C35)</f>
        <v>7662</v>
      </c>
      <c r="D36" s="971">
        <f t="shared" si="2"/>
        <v>1839</v>
      </c>
      <c r="E36" s="971">
        <f t="shared" si="2"/>
        <v>3959</v>
      </c>
      <c r="F36" s="971">
        <f t="shared" si="2"/>
        <v>575</v>
      </c>
      <c r="G36" s="971">
        <f t="shared" si="2"/>
        <v>478</v>
      </c>
      <c r="H36" s="971">
        <f t="shared" si="2"/>
        <v>892</v>
      </c>
      <c r="I36" s="971">
        <f t="shared" si="2"/>
        <v>378</v>
      </c>
      <c r="J36" s="972">
        <f t="shared" si="2"/>
        <v>97</v>
      </c>
      <c r="K36" s="985">
        <f t="shared" si="1"/>
        <v>15880</v>
      </c>
      <c r="L36" s="973">
        <f>SUM(L6:L35)</f>
        <v>9612</v>
      </c>
      <c r="M36" s="974">
        <f>SUM(M6:M35)</f>
        <v>9531</v>
      </c>
    </row>
    <row r="37" spans="1:13" s="938" customFormat="1" ht="4.5" customHeight="1">
      <c r="A37" s="975"/>
      <c r="B37" s="975"/>
      <c r="C37" s="957"/>
      <c r="D37" s="957"/>
      <c r="E37" s="957"/>
      <c r="F37" s="957"/>
      <c r="G37" s="957"/>
      <c r="H37" s="957"/>
      <c r="I37" s="957"/>
      <c r="J37" s="957"/>
      <c r="K37" s="957"/>
      <c r="L37" s="957"/>
      <c r="M37" s="957"/>
    </row>
    <row r="38" spans="1:13" s="938" customFormat="1" ht="16.5" customHeight="1">
      <c r="A38" s="976" t="s">
        <v>255</v>
      </c>
      <c r="B38" s="976"/>
      <c r="C38" s="957"/>
      <c r="D38" s="957"/>
      <c r="E38" s="957"/>
      <c r="F38" s="957"/>
      <c r="G38" s="957"/>
      <c r="H38" s="957"/>
      <c r="I38" s="957"/>
      <c r="J38" s="957"/>
      <c r="K38" s="957"/>
      <c r="L38" s="957"/>
      <c r="M38" s="957"/>
    </row>
    <row r="39" spans="1:8" ht="15" customHeight="1">
      <c r="A39" s="977" t="s">
        <v>282</v>
      </c>
      <c r="B39" s="977"/>
      <c r="G39" s="978"/>
      <c r="H39" s="979"/>
    </row>
    <row r="40" ht="15">
      <c r="M40" s="980"/>
    </row>
  </sheetData>
  <sheetProtection/>
  <mergeCells count="6">
    <mergeCell ref="A3:A5"/>
    <mergeCell ref="L3:L5"/>
    <mergeCell ref="M3:M5"/>
    <mergeCell ref="C3:J3"/>
    <mergeCell ref="B3:B5"/>
    <mergeCell ref="K4:K5"/>
  </mergeCells>
  <printOptions/>
  <pageMargins left="0.5" right="0" top="0.75" bottom="0.33" header="0.2" footer="0.2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13">
      <selection activeCell="L28" sqref="L28"/>
    </sheetView>
  </sheetViews>
  <sheetFormatPr defaultColWidth="9.140625" defaultRowHeight="12.75"/>
  <cols>
    <col min="1" max="1" width="27.00390625" style="938" customWidth="1"/>
    <col min="2" max="2" width="9.421875" style="938" customWidth="1"/>
    <col min="3" max="4" width="7.28125" style="937" customWidth="1"/>
    <col min="5" max="5" width="7.00390625" style="937" customWidth="1"/>
    <col min="6" max="7" width="6.57421875" style="937" customWidth="1"/>
    <col min="8" max="8" width="10.421875" style="937" customWidth="1"/>
    <col min="9" max="9" width="6.8515625" style="937" customWidth="1"/>
    <col min="10" max="10" width="6.421875" style="937" customWidth="1"/>
    <col min="11" max="11" width="9.7109375" style="937" customWidth="1"/>
    <col min="12" max="12" width="14.421875" style="937" customWidth="1"/>
    <col min="13" max="13" width="9.7109375" style="937" customWidth="1"/>
    <col min="14" max="14" width="6.7109375" style="937" customWidth="1"/>
    <col min="15" max="16384" width="9.140625" style="937" customWidth="1"/>
  </cols>
  <sheetData>
    <row r="1" spans="1:2" ht="19.5" customHeight="1">
      <c r="A1" s="937" t="s">
        <v>365</v>
      </c>
      <c r="B1" s="937"/>
    </row>
    <row r="2" ht="3" customHeight="1"/>
    <row r="3" spans="1:13" ht="18" customHeight="1">
      <c r="A3" s="1535" t="s">
        <v>219</v>
      </c>
      <c r="B3" s="1535" t="s">
        <v>5</v>
      </c>
      <c r="C3" s="1543" t="s">
        <v>318</v>
      </c>
      <c r="D3" s="1544"/>
      <c r="E3" s="1544"/>
      <c r="F3" s="1544"/>
      <c r="G3" s="1544"/>
      <c r="H3" s="1544"/>
      <c r="I3" s="1544"/>
      <c r="J3" s="1545"/>
      <c r="K3" s="983" t="s">
        <v>5</v>
      </c>
      <c r="L3" s="1551" t="s">
        <v>220</v>
      </c>
      <c r="M3" s="1535" t="s">
        <v>221</v>
      </c>
    </row>
    <row r="4" spans="1:13" s="938" customFormat="1" ht="12" customHeight="1">
      <c r="A4" s="1537"/>
      <c r="B4" s="1537"/>
      <c r="C4" s="943" t="s">
        <v>254</v>
      </c>
      <c r="D4" s="945" t="s">
        <v>222</v>
      </c>
      <c r="E4" s="945" t="s">
        <v>223</v>
      </c>
      <c r="F4" s="945" t="s">
        <v>224</v>
      </c>
      <c r="G4" s="945" t="s">
        <v>225</v>
      </c>
      <c r="H4" s="945" t="s">
        <v>226</v>
      </c>
      <c r="I4" s="945" t="s">
        <v>227</v>
      </c>
      <c r="J4" s="946" t="s">
        <v>228</v>
      </c>
      <c r="K4" s="1223"/>
      <c r="L4" s="1552"/>
      <c r="M4" s="1537"/>
    </row>
    <row r="5" spans="1:24" s="938" customFormat="1" ht="14.25" customHeight="1">
      <c r="A5" s="947" t="s">
        <v>319</v>
      </c>
      <c r="B5" s="1154">
        <f>SUM(C5:M5)-K5</f>
        <v>5139</v>
      </c>
      <c r="C5" s="1155">
        <v>257</v>
      </c>
      <c r="D5" s="1230">
        <v>24</v>
      </c>
      <c r="E5" s="1163" t="s">
        <v>321</v>
      </c>
      <c r="F5" s="1163" t="s">
        <v>321</v>
      </c>
      <c r="G5" s="1163" t="s">
        <v>321</v>
      </c>
      <c r="H5" s="1156" t="s">
        <v>39</v>
      </c>
      <c r="I5" s="1156" t="s">
        <v>39</v>
      </c>
      <c r="J5" s="1157" t="s">
        <v>39</v>
      </c>
      <c r="K5" s="953">
        <f>SUM(C5:J5)</f>
        <v>281</v>
      </c>
      <c r="L5" s="1158">
        <v>4324</v>
      </c>
      <c r="M5" s="1227">
        <v>534</v>
      </c>
      <c r="O5" s="1159"/>
      <c r="X5" s="1225"/>
    </row>
    <row r="6" spans="1:15" s="938" customFormat="1" ht="14.25" customHeight="1">
      <c r="A6" s="947" t="s">
        <v>229</v>
      </c>
      <c r="B6" s="1160">
        <f aca="true" t="shared" si="0" ref="B6:B37">SUM(C6:M6)-K6</f>
        <v>5168</v>
      </c>
      <c r="C6" s="1161">
        <v>1521</v>
      </c>
      <c r="D6" s="1230">
        <v>1034</v>
      </c>
      <c r="E6" s="1163" t="s">
        <v>321</v>
      </c>
      <c r="F6" s="1163" t="s">
        <v>321</v>
      </c>
      <c r="G6" s="1167">
        <v>133</v>
      </c>
      <c r="H6" s="1162">
        <v>349</v>
      </c>
      <c r="I6" s="1163" t="s">
        <v>39</v>
      </c>
      <c r="J6" s="1164" t="s">
        <v>39</v>
      </c>
      <c r="K6" s="958">
        <f>SUM(C6:J6)</f>
        <v>3037</v>
      </c>
      <c r="L6" s="1165">
        <v>1160</v>
      </c>
      <c r="M6" s="1226">
        <v>971</v>
      </c>
      <c r="O6" s="1159"/>
    </row>
    <row r="7" spans="1:15" s="938" customFormat="1" ht="14.25" customHeight="1">
      <c r="A7" s="947" t="s">
        <v>230</v>
      </c>
      <c r="B7" s="1160">
        <f t="shared" si="0"/>
        <v>338</v>
      </c>
      <c r="C7" s="1161">
        <v>319</v>
      </c>
      <c r="D7" s="1163" t="s">
        <v>321</v>
      </c>
      <c r="E7" s="1163" t="s">
        <v>321</v>
      </c>
      <c r="F7" s="1163" t="s">
        <v>321</v>
      </c>
      <c r="G7" s="1163" t="s">
        <v>321</v>
      </c>
      <c r="H7" s="1163" t="s">
        <v>39</v>
      </c>
      <c r="I7" s="1163" t="s">
        <v>39</v>
      </c>
      <c r="J7" s="1164" t="s">
        <v>39</v>
      </c>
      <c r="K7" s="958">
        <f aca="true" t="shared" si="1" ref="K7:K36">SUM(C7:J7)</f>
        <v>319</v>
      </c>
      <c r="L7" s="1164" t="s">
        <v>434</v>
      </c>
      <c r="M7" s="1226">
        <v>19</v>
      </c>
      <c r="O7" s="1159"/>
    </row>
    <row r="8" spans="1:15" s="938" customFormat="1" ht="14.25" customHeight="1">
      <c r="A8" s="947" t="s">
        <v>231</v>
      </c>
      <c r="B8" s="1160">
        <f t="shared" si="0"/>
        <v>134</v>
      </c>
      <c r="C8" s="1166" t="s">
        <v>321</v>
      </c>
      <c r="D8" s="1163" t="s">
        <v>13</v>
      </c>
      <c r="E8" s="1163" t="s">
        <v>321</v>
      </c>
      <c r="F8" s="1163" t="s">
        <v>321</v>
      </c>
      <c r="G8" s="1163" t="s">
        <v>321</v>
      </c>
      <c r="H8" s="1163" t="s">
        <v>39</v>
      </c>
      <c r="I8" s="1163" t="s">
        <v>39</v>
      </c>
      <c r="J8" s="1164" t="s">
        <v>39</v>
      </c>
      <c r="K8" s="1164">
        <v>0</v>
      </c>
      <c r="L8" s="1165">
        <v>7</v>
      </c>
      <c r="M8" s="1226">
        <v>127</v>
      </c>
      <c r="O8" s="1159"/>
    </row>
    <row r="9" spans="1:15" s="938" customFormat="1" ht="14.25" customHeight="1">
      <c r="A9" s="947" t="s">
        <v>232</v>
      </c>
      <c r="B9" s="1160">
        <f t="shared" si="0"/>
        <v>553</v>
      </c>
      <c r="C9" s="1166" t="s">
        <v>321</v>
      </c>
      <c r="D9" s="1163" t="s">
        <v>321</v>
      </c>
      <c r="E9" s="1163" t="s">
        <v>321</v>
      </c>
      <c r="F9" s="1167">
        <v>160</v>
      </c>
      <c r="G9" s="1163" t="s">
        <v>321</v>
      </c>
      <c r="H9" s="1163" t="s">
        <v>39</v>
      </c>
      <c r="I9" s="1163" t="s">
        <v>39</v>
      </c>
      <c r="J9" s="1164" t="s">
        <v>39</v>
      </c>
      <c r="K9" s="958">
        <f t="shared" si="1"/>
        <v>160</v>
      </c>
      <c r="L9" s="1165">
        <v>254</v>
      </c>
      <c r="M9" s="1226">
        <v>139</v>
      </c>
      <c r="O9" s="1159"/>
    </row>
    <row r="10" spans="1:15" s="938" customFormat="1" ht="14.25" customHeight="1">
      <c r="A10" s="947" t="s">
        <v>233</v>
      </c>
      <c r="B10" s="1160">
        <f t="shared" si="0"/>
        <v>981</v>
      </c>
      <c r="C10" s="1161">
        <v>465</v>
      </c>
      <c r="D10" s="1230">
        <v>265</v>
      </c>
      <c r="E10" s="1163" t="s">
        <v>321</v>
      </c>
      <c r="F10" s="1163" t="s">
        <v>321</v>
      </c>
      <c r="G10" s="1163" t="s">
        <v>321</v>
      </c>
      <c r="H10" s="1163" t="s">
        <v>39</v>
      </c>
      <c r="I10" s="1163" t="s">
        <v>39</v>
      </c>
      <c r="J10" s="1164" t="s">
        <v>39</v>
      </c>
      <c r="K10" s="958">
        <f t="shared" si="1"/>
        <v>730</v>
      </c>
      <c r="L10" s="1165">
        <v>110</v>
      </c>
      <c r="M10" s="1226">
        <v>141</v>
      </c>
      <c r="O10" s="1159"/>
    </row>
    <row r="11" spans="1:15" s="938" customFormat="1" ht="14.25" customHeight="1">
      <c r="A11" s="947" t="s">
        <v>234</v>
      </c>
      <c r="B11" s="1160">
        <f t="shared" si="0"/>
        <v>3096</v>
      </c>
      <c r="C11" s="1161">
        <v>148</v>
      </c>
      <c r="D11" s="1163" t="s">
        <v>39</v>
      </c>
      <c r="E11" s="1163" t="s">
        <v>321</v>
      </c>
      <c r="F11" s="1163" t="s">
        <v>321</v>
      </c>
      <c r="G11" s="1230">
        <v>42</v>
      </c>
      <c r="H11" s="1162"/>
      <c r="I11" s="1163" t="s">
        <v>39</v>
      </c>
      <c r="J11" s="1164" t="s">
        <v>39</v>
      </c>
      <c r="K11" s="958">
        <f t="shared" si="1"/>
        <v>190</v>
      </c>
      <c r="L11" s="1165">
        <v>1150</v>
      </c>
      <c r="M11" s="1226">
        <v>1756</v>
      </c>
      <c r="O11" s="1159"/>
    </row>
    <row r="12" spans="1:15" s="938" customFormat="1" ht="14.25" customHeight="1">
      <c r="A12" s="947" t="s">
        <v>235</v>
      </c>
      <c r="B12" s="1160">
        <f t="shared" si="0"/>
        <v>451</v>
      </c>
      <c r="C12" s="1161">
        <v>86</v>
      </c>
      <c r="D12" s="1230">
        <v>69</v>
      </c>
      <c r="E12" s="1163" t="s">
        <v>321</v>
      </c>
      <c r="F12" s="1163" t="s">
        <v>321</v>
      </c>
      <c r="G12" s="1163" t="s">
        <v>321</v>
      </c>
      <c r="H12" s="1163" t="s">
        <v>39</v>
      </c>
      <c r="I12" s="1163" t="s">
        <v>39</v>
      </c>
      <c r="J12" s="1164" t="s">
        <v>39</v>
      </c>
      <c r="K12" s="958">
        <f t="shared" si="1"/>
        <v>155</v>
      </c>
      <c r="L12" s="1165">
        <v>112</v>
      </c>
      <c r="M12" s="1226">
        <v>184</v>
      </c>
      <c r="O12" s="1159"/>
    </row>
    <row r="13" spans="1:15" s="938" customFormat="1" ht="14.25" customHeight="1">
      <c r="A13" s="947" t="s">
        <v>429</v>
      </c>
      <c r="B13" s="1160">
        <f t="shared" si="0"/>
        <v>62</v>
      </c>
      <c r="C13" s="1166" t="s">
        <v>321</v>
      </c>
      <c r="D13" s="1230">
        <v>62</v>
      </c>
      <c r="E13" s="1163" t="s">
        <v>321</v>
      </c>
      <c r="F13" s="1163" t="s">
        <v>321</v>
      </c>
      <c r="G13" s="1163" t="s">
        <v>321</v>
      </c>
      <c r="H13" s="1163" t="s">
        <v>39</v>
      </c>
      <c r="I13" s="1163" t="s">
        <v>39</v>
      </c>
      <c r="J13" s="1164" t="s">
        <v>39</v>
      </c>
      <c r="K13" s="958">
        <f t="shared" si="1"/>
        <v>62</v>
      </c>
      <c r="L13" s="1164" t="s">
        <v>434</v>
      </c>
      <c r="M13" s="1226"/>
      <c r="O13" s="1159"/>
    </row>
    <row r="14" spans="1:15" s="938" customFormat="1" ht="14.25" customHeight="1">
      <c r="A14" s="947" t="s">
        <v>236</v>
      </c>
      <c r="B14" s="1160">
        <f t="shared" si="0"/>
        <v>331</v>
      </c>
      <c r="C14" s="1166" t="s">
        <v>321</v>
      </c>
      <c r="D14" s="1163" t="s">
        <v>321</v>
      </c>
      <c r="E14" s="1163" t="s">
        <v>321</v>
      </c>
      <c r="F14" s="1163" t="s">
        <v>321</v>
      </c>
      <c r="G14" s="1163" t="s">
        <v>321</v>
      </c>
      <c r="H14" s="1163" t="s">
        <v>39</v>
      </c>
      <c r="I14" s="1163" t="s">
        <v>39</v>
      </c>
      <c r="J14" s="1164" t="s">
        <v>39</v>
      </c>
      <c r="K14" s="1164">
        <v>0</v>
      </c>
      <c r="L14" s="1165">
        <v>267</v>
      </c>
      <c r="M14" s="1226">
        <v>64</v>
      </c>
      <c r="N14" s="938" t="s">
        <v>102</v>
      </c>
      <c r="O14" s="1159"/>
    </row>
    <row r="15" spans="1:15" s="938" customFormat="1" ht="14.25" customHeight="1">
      <c r="A15" s="947" t="s">
        <v>237</v>
      </c>
      <c r="B15" s="1160">
        <f t="shared" si="0"/>
        <v>763</v>
      </c>
      <c r="C15" s="1161">
        <v>467</v>
      </c>
      <c r="D15" s="1230">
        <v>13</v>
      </c>
      <c r="E15" s="1163" t="s">
        <v>321</v>
      </c>
      <c r="F15" s="1163" t="s">
        <v>321</v>
      </c>
      <c r="G15" s="1163" t="s">
        <v>321</v>
      </c>
      <c r="H15" s="1163" t="s">
        <v>39</v>
      </c>
      <c r="I15" s="1163" t="s">
        <v>39</v>
      </c>
      <c r="J15" s="1164" t="s">
        <v>39</v>
      </c>
      <c r="K15" s="958">
        <f t="shared" si="1"/>
        <v>480</v>
      </c>
      <c r="L15" s="1165">
        <v>47</v>
      </c>
      <c r="M15" s="1226">
        <v>236</v>
      </c>
      <c r="O15" s="1159"/>
    </row>
    <row r="16" spans="1:15" s="938" customFormat="1" ht="14.25" customHeight="1">
      <c r="A16" s="947" t="s">
        <v>238</v>
      </c>
      <c r="B16" s="1160">
        <f t="shared" si="0"/>
        <v>4530</v>
      </c>
      <c r="C16" s="1161">
        <v>22</v>
      </c>
      <c r="D16" s="1230">
        <v>135</v>
      </c>
      <c r="E16" s="1230">
        <v>4196</v>
      </c>
      <c r="F16" s="1163" t="s">
        <v>321</v>
      </c>
      <c r="G16" s="1230">
        <v>2</v>
      </c>
      <c r="H16" s="1163" t="s">
        <v>39</v>
      </c>
      <c r="I16" s="1163" t="s">
        <v>39</v>
      </c>
      <c r="J16" s="1164" t="s">
        <v>39</v>
      </c>
      <c r="K16" s="958">
        <f t="shared" si="1"/>
        <v>4355</v>
      </c>
      <c r="L16" s="1165">
        <v>36</v>
      </c>
      <c r="M16" s="1226">
        <v>139</v>
      </c>
      <c r="O16" s="1159"/>
    </row>
    <row r="17" spans="1:15" s="938" customFormat="1" ht="14.25" customHeight="1">
      <c r="A17" s="947" t="s">
        <v>433</v>
      </c>
      <c r="B17" s="1160">
        <f t="shared" si="0"/>
        <v>17</v>
      </c>
      <c r="C17" s="1166" t="s">
        <v>321</v>
      </c>
      <c r="D17" s="1230">
        <v>15</v>
      </c>
      <c r="E17" s="1163" t="s">
        <v>321</v>
      </c>
      <c r="F17" s="1163" t="s">
        <v>321</v>
      </c>
      <c r="G17" s="1163" t="s">
        <v>321</v>
      </c>
      <c r="H17" s="1163" t="s">
        <v>39</v>
      </c>
      <c r="I17" s="1163" t="s">
        <v>39</v>
      </c>
      <c r="J17" s="1164" t="s">
        <v>39</v>
      </c>
      <c r="K17" s="958">
        <f t="shared" si="1"/>
        <v>15</v>
      </c>
      <c r="L17" s="1164" t="s">
        <v>434</v>
      </c>
      <c r="M17" s="1226">
        <v>2</v>
      </c>
      <c r="O17" s="1159"/>
    </row>
    <row r="18" spans="1:15" s="938" customFormat="1" ht="14.25" customHeight="1">
      <c r="A18" s="947" t="s">
        <v>239</v>
      </c>
      <c r="B18" s="1160">
        <f t="shared" si="0"/>
        <v>2780</v>
      </c>
      <c r="C18" s="1161">
        <v>1220</v>
      </c>
      <c r="D18" s="1230">
        <v>31</v>
      </c>
      <c r="E18" s="1163" t="s">
        <v>321</v>
      </c>
      <c r="F18" s="1163" t="s">
        <v>321</v>
      </c>
      <c r="G18" s="1163" t="s">
        <v>321</v>
      </c>
      <c r="H18" s="1162">
        <v>268</v>
      </c>
      <c r="I18" s="1167">
        <v>22</v>
      </c>
      <c r="J18" s="1164" t="s">
        <v>39</v>
      </c>
      <c r="K18" s="958">
        <f t="shared" si="1"/>
        <v>1541</v>
      </c>
      <c r="L18" s="1165">
        <v>229</v>
      </c>
      <c r="M18" s="1226">
        <v>1010</v>
      </c>
      <c r="O18" s="1159"/>
    </row>
    <row r="19" spans="1:15" s="938" customFormat="1" ht="14.25" customHeight="1">
      <c r="A19" s="947" t="s">
        <v>432</v>
      </c>
      <c r="B19" s="1160">
        <f t="shared" si="0"/>
        <v>673</v>
      </c>
      <c r="C19" s="1161">
        <v>378</v>
      </c>
      <c r="D19" s="1167">
        <v>108</v>
      </c>
      <c r="E19" s="1163" t="s">
        <v>321</v>
      </c>
      <c r="F19" s="1163" t="s">
        <v>321</v>
      </c>
      <c r="G19" s="1163" t="s">
        <v>321</v>
      </c>
      <c r="H19" s="1163" t="s">
        <v>39</v>
      </c>
      <c r="I19" s="1163" t="s">
        <v>39</v>
      </c>
      <c r="J19" s="1231">
        <v>51</v>
      </c>
      <c r="K19" s="958">
        <f t="shared" si="1"/>
        <v>537</v>
      </c>
      <c r="L19" s="1164" t="s">
        <v>434</v>
      </c>
      <c r="M19" s="1226">
        <v>136</v>
      </c>
      <c r="O19" s="1159"/>
    </row>
    <row r="20" spans="1:15" s="938" customFormat="1" ht="14.25" customHeight="1">
      <c r="A20" s="947" t="s">
        <v>240</v>
      </c>
      <c r="B20" s="1160">
        <f t="shared" si="0"/>
        <v>542</v>
      </c>
      <c r="C20" s="1161">
        <v>258</v>
      </c>
      <c r="D20" s="1163" t="s">
        <v>321</v>
      </c>
      <c r="E20" s="1163" t="s">
        <v>321</v>
      </c>
      <c r="F20" s="1167">
        <v>79</v>
      </c>
      <c r="G20" s="1163" t="s">
        <v>39</v>
      </c>
      <c r="H20" s="1163" t="s">
        <v>39</v>
      </c>
      <c r="I20" s="1163" t="s">
        <v>39</v>
      </c>
      <c r="J20" s="1164" t="s">
        <v>39</v>
      </c>
      <c r="K20" s="958">
        <f t="shared" si="1"/>
        <v>337</v>
      </c>
      <c r="L20" s="1165">
        <v>9</v>
      </c>
      <c r="M20" s="1226">
        <v>196</v>
      </c>
      <c r="O20" s="1159"/>
    </row>
    <row r="21" spans="1:15" s="938" customFormat="1" ht="14.25" customHeight="1">
      <c r="A21" s="947" t="s">
        <v>241</v>
      </c>
      <c r="B21" s="1160">
        <f t="shared" si="0"/>
        <v>3448</v>
      </c>
      <c r="C21" s="1161">
        <v>949</v>
      </c>
      <c r="D21" s="1167">
        <v>419</v>
      </c>
      <c r="E21" s="1163" t="s">
        <v>321</v>
      </c>
      <c r="F21" s="1163" t="s">
        <v>321</v>
      </c>
      <c r="G21" s="1230">
        <v>11</v>
      </c>
      <c r="H21" s="1162">
        <v>166</v>
      </c>
      <c r="I21" s="1162">
        <v>121</v>
      </c>
      <c r="J21" s="1164" t="s">
        <v>39</v>
      </c>
      <c r="K21" s="958">
        <f t="shared" si="1"/>
        <v>1666</v>
      </c>
      <c r="L21" s="1165">
        <v>756</v>
      </c>
      <c r="M21" s="1226">
        <v>1026</v>
      </c>
      <c r="O21" s="1159"/>
    </row>
    <row r="22" spans="1:15" s="938" customFormat="1" ht="14.25" customHeight="1">
      <c r="A22" s="966" t="s">
        <v>242</v>
      </c>
      <c r="B22" s="1160">
        <f t="shared" si="0"/>
        <v>1292</v>
      </c>
      <c r="C22" s="1161">
        <v>361</v>
      </c>
      <c r="D22" s="1163" t="s">
        <v>321</v>
      </c>
      <c r="E22" s="1163" t="s">
        <v>321</v>
      </c>
      <c r="F22" s="1167">
        <v>300</v>
      </c>
      <c r="G22" s="1167">
        <v>131</v>
      </c>
      <c r="H22" s="1163" t="s">
        <v>39</v>
      </c>
      <c r="I22" s="1163" t="s">
        <v>39</v>
      </c>
      <c r="J22" s="1164" t="s">
        <v>39</v>
      </c>
      <c r="K22" s="958">
        <f t="shared" si="1"/>
        <v>792</v>
      </c>
      <c r="L22" s="1165">
        <v>120</v>
      </c>
      <c r="M22" s="1226">
        <v>380</v>
      </c>
      <c r="O22" s="1159"/>
    </row>
    <row r="23" spans="1:15" s="938" customFormat="1" ht="14.25" customHeight="1">
      <c r="A23" s="947" t="s">
        <v>243</v>
      </c>
      <c r="B23" s="1160">
        <f t="shared" si="0"/>
        <v>1195</v>
      </c>
      <c r="C23" s="1161">
        <v>331</v>
      </c>
      <c r="D23" s="1163" t="s">
        <v>321</v>
      </c>
      <c r="E23" s="1163" t="s">
        <v>321</v>
      </c>
      <c r="F23" s="1163" t="s">
        <v>321</v>
      </c>
      <c r="G23" s="1163" t="s">
        <v>321</v>
      </c>
      <c r="H23" s="1163" t="s">
        <v>39</v>
      </c>
      <c r="I23" s="1163" t="s">
        <v>39</v>
      </c>
      <c r="J23" s="1164" t="s">
        <v>39</v>
      </c>
      <c r="K23" s="958">
        <f t="shared" si="1"/>
        <v>331</v>
      </c>
      <c r="L23" s="1165">
        <v>385</v>
      </c>
      <c r="M23" s="1226">
        <v>479</v>
      </c>
      <c r="O23" s="1159"/>
    </row>
    <row r="24" spans="1:15" s="938" customFormat="1" ht="14.25" customHeight="1">
      <c r="A24" s="947" t="s">
        <v>244</v>
      </c>
      <c r="B24" s="1160">
        <f t="shared" si="0"/>
        <v>441</v>
      </c>
      <c r="C24" s="1161">
        <v>201</v>
      </c>
      <c r="D24" s="1230">
        <v>43</v>
      </c>
      <c r="E24" s="1163" t="s">
        <v>321</v>
      </c>
      <c r="F24" s="1163" t="s">
        <v>321</v>
      </c>
      <c r="G24" s="1163" t="s">
        <v>321</v>
      </c>
      <c r="H24" s="1163" t="s">
        <v>39</v>
      </c>
      <c r="I24" s="1163" t="s">
        <v>39</v>
      </c>
      <c r="J24" s="1231">
        <v>0</v>
      </c>
      <c r="K24" s="958">
        <f t="shared" si="1"/>
        <v>244</v>
      </c>
      <c r="L24" s="1165">
        <v>32</v>
      </c>
      <c r="M24" s="1226">
        <v>165</v>
      </c>
      <c r="O24" s="1159"/>
    </row>
    <row r="25" spans="1:15" s="938" customFormat="1" ht="14.25" customHeight="1">
      <c r="A25" s="947" t="s">
        <v>320</v>
      </c>
      <c r="B25" s="1160">
        <f t="shared" si="0"/>
        <v>1889</v>
      </c>
      <c r="C25" s="1161">
        <v>74</v>
      </c>
      <c r="D25" s="1163" t="s">
        <v>321</v>
      </c>
      <c r="E25" s="1163" t="s">
        <v>321</v>
      </c>
      <c r="F25" s="1163" t="s">
        <v>321</v>
      </c>
      <c r="G25" s="1163" t="s">
        <v>321</v>
      </c>
      <c r="H25" s="1163" t="s">
        <v>39</v>
      </c>
      <c r="I25" s="1163" t="s">
        <v>39</v>
      </c>
      <c r="J25" s="1231">
        <v>16</v>
      </c>
      <c r="K25" s="958">
        <f t="shared" si="1"/>
        <v>90</v>
      </c>
      <c r="L25" s="1165">
        <v>702</v>
      </c>
      <c r="M25" s="1226">
        <v>1097</v>
      </c>
      <c r="O25" s="1159"/>
    </row>
    <row r="26" spans="1:15" s="938" customFormat="1" ht="14.25" customHeight="1">
      <c r="A26" s="947" t="s">
        <v>428</v>
      </c>
      <c r="B26" s="1160">
        <f t="shared" si="0"/>
        <v>12</v>
      </c>
      <c r="C26" s="1161">
        <v>12</v>
      </c>
      <c r="D26" s="1163" t="s">
        <v>321</v>
      </c>
      <c r="E26" s="1163" t="s">
        <v>321</v>
      </c>
      <c r="F26" s="1163" t="s">
        <v>321</v>
      </c>
      <c r="G26" s="1163" t="s">
        <v>321</v>
      </c>
      <c r="H26" s="1163" t="s">
        <v>39</v>
      </c>
      <c r="I26" s="1163" t="s">
        <v>39</v>
      </c>
      <c r="J26" s="1164" t="s">
        <v>39</v>
      </c>
      <c r="K26" s="958">
        <f t="shared" si="1"/>
        <v>12</v>
      </c>
      <c r="L26" s="1164" t="s">
        <v>434</v>
      </c>
      <c r="M26" s="1226"/>
      <c r="O26" s="1159"/>
    </row>
    <row r="27" spans="1:15" s="938" customFormat="1" ht="14.25" customHeight="1">
      <c r="A27" s="947" t="s">
        <v>245</v>
      </c>
      <c r="B27" s="1160">
        <f t="shared" si="0"/>
        <v>174</v>
      </c>
      <c r="C27" s="1161">
        <v>34</v>
      </c>
      <c r="D27" s="1163" t="s">
        <v>321</v>
      </c>
      <c r="E27" s="1163" t="s">
        <v>321</v>
      </c>
      <c r="F27" s="1163" t="s">
        <v>321</v>
      </c>
      <c r="G27" s="1163" t="s">
        <v>321</v>
      </c>
      <c r="H27" s="1163" t="s">
        <v>39</v>
      </c>
      <c r="I27" s="1163" t="s">
        <v>39</v>
      </c>
      <c r="J27" s="1164" t="s">
        <v>39</v>
      </c>
      <c r="K27" s="958">
        <f t="shared" si="1"/>
        <v>34</v>
      </c>
      <c r="L27" s="1165">
        <v>11</v>
      </c>
      <c r="M27" s="1226">
        <v>129</v>
      </c>
      <c r="O27" s="1159"/>
    </row>
    <row r="28" spans="1:15" s="938" customFormat="1" ht="14.25" customHeight="1">
      <c r="A28" s="947" t="s">
        <v>246</v>
      </c>
      <c r="B28" s="1160">
        <f t="shared" si="0"/>
        <v>6</v>
      </c>
      <c r="C28" s="1161">
        <v>6</v>
      </c>
      <c r="D28" s="1163" t="s">
        <v>321</v>
      </c>
      <c r="E28" s="1163" t="s">
        <v>321</v>
      </c>
      <c r="F28" s="1163" t="s">
        <v>321</v>
      </c>
      <c r="G28" s="1163" t="s">
        <v>321</v>
      </c>
      <c r="H28" s="1163" t="s">
        <v>39</v>
      </c>
      <c r="I28" s="1163" t="s">
        <v>39</v>
      </c>
      <c r="J28" s="1164" t="s">
        <v>39</v>
      </c>
      <c r="K28" s="958">
        <f t="shared" si="1"/>
        <v>6</v>
      </c>
      <c r="L28" s="1164" t="s">
        <v>434</v>
      </c>
      <c r="M28" s="1228" t="s">
        <v>39</v>
      </c>
      <c r="O28" s="1159"/>
    </row>
    <row r="29" spans="1:15" s="938" customFormat="1" ht="14.25" customHeight="1">
      <c r="A29" s="947" t="s">
        <v>430</v>
      </c>
      <c r="B29" s="1160">
        <f t="shared" si="0"/>
        <v>35</v>
      </c>
      <c r="C29" s="1166" t="s">
        <v>321</v>
      </c>
      <c r="D29" s="1163" t="s">
        <v>321</v>
      </c>
      <c r="E29" s="1163" t="s">
        <v>321</v>
      </c>
      <c r="F29" s="1163" t="s">
        <v>321</v>
      </c>
      <c r="G29" s="1163" t="s">
        <v>321</v>
      </c>
      <c r="H29" s="1163" t="s">
        <v>39</v>
      </c>
      <c r="I29" s="1163" t="s">
        <v>39</v>
      </c>
      <c r="J29" s="1164" t="s">
        <v>39</v>
      </c>
      <c r="K29" s="958">
        <f t="shared" si="1"/>
        <v>0</v>
      </c>
      <c r="L29" s="1164" t="s">
        <v>434</v>
      </c>
      <c r="M29" s="1226">
        <v>35</v>
      </c>
      <c r="O29" s="1159"/>
    </row>
    <row r="30" spans="1:15" s="938" customFormat="1" ht="14.25" customHeight="1">
      <c r="A30" s="947" t="s">
        <v>431</v>
      </c>
      <c r="B30" s="1160">
        <f t="shared" si="0"/>
        <v>67</v>
      </c>
      <c r="C30" s="1166" t="s">
        <v>321</v>
      </c>
      <c r="D30" s="1163" t="s">
        <v>321</v>
      </c>
      <c r="E30" s="1163" t="s">
        <v>321</v>
      </c>
      <c r="F30" s="1163" t="s">
        <v>321</v>
      </c>
      <c r="G30" s="1163" t="s">
        <v>321</v>
      </c>
      <c r="H30" s="1163" t="s">
        <v>39</v>
      </c>
      <c r="I30" s="1163" t="s">
        <v>39</v>
      </c>
      <c r="J30" s="1164" t="s">
        <v>39</v>
      </c>
      <c r="K30" s="958">
        <f t="shared" si="1"/>
        <v>0</v>
      </c>
      <c r="L30" s="1165">
        <v>47</v>
      </c>
      <c r="M30" s="1226">
        <v>20</v>
      </c>
      <c r="O30" s="1159"/>
    </row>
    <row r="31" spans="1:15" s="938" customFormat="1" ht="14.25" customHeight="1">
      <c r="A31" s="947" t="s">
        <v>248</v>
      </c>
      <c r="B31" s="1160">
        <f t="shared" si="0"/>
        <v>207</v>
      </c>
      <c r="C31" s="1161">
        <v>179</v>
      </c>
      <c r="D31" s="1230">
        <v>28</v>
      </c>
      <c r="E31" s="1163" t="s">
        <v>321</v>
      </c>
      <c r="F31" s="1163" t="s">
        <v>321</v>
      </c>
      <c r="G31" s="1163" t="s">
        <v>321</v>
      </c>
      <c r="H31" s="1163" t="s">
        <v>39</v>
      </c>
      <c r="I31" s="1163" t="s">
        <v>39</v>
      </c>
      <c r="J31" s="1164" t="s">
        <v>39</v>
      </c>
      <c r="K31" s="958">
        <f t="shared" si="1"/>
        <v>207</v>
      </c>
      <c r="L31" s="1164" t="s">
        <v>434</v>
      </c>
      <c r="M31" s="1228" t="s">
        <v>39</v>
      </c>
      <c r="O31" s="1159"/>
    </row>
    <row r="32" spans="1:15" s="938" customFormat="1" ht="14.25" customHeight="1">
      <c r="A32" s="947" t="s">
        <v>249</v>
      </c>
      <c r="B32" s="1160">
        <f t="shared" si="0"/>
        <v>1119</v>
      </c>
      <c r="C32" s="1161">
        <v>464</v>
      </c>
      <c r="D32" s="1163" t="s">
        <v>321</v>
      </c>
      <c r="E32" s="1163" t="s">
        <v>321</v>
      </c>
      <c r="F32" s="1163" t="s">
        <v>321</v>
      </c>
      <c r="G32" s="1163" t="s">
        <v>321</v>
      </c>
      <c r="H32" s="1163" t="s">
        <v>39</v>
      </c>
      <c r="I32" s="1163" t="s">
        <v>39</v>
      </c>
      <c r="J32" s="1164" t="s">
        <v>39</v>
      </c>
      <c r="K32" s="958">
        <f t="shared" si="1"/>
        <v>464</v>
      </c>
      <c r="L32" s="1165">
        <v>28</v>
      </c>
      <c r="M32" s="1226">
        <v>627</v>
      </c>
      <c r="O32" s="1159"/>
    </row>
    <row r="33" spans="1:15" s="938" customFormat="1" ht="14.25" customHeight="1">
      <c r="A33" s="947" t="s">
        <v>250</v>
      </c>
      <c r="B33" s="1160">
        <f t="shared" si="0"/>
        <v>918</v>
      </c>
      <c r="C33" s="1161">
        <v>397</v>
      </c>
      <c r="D33" s="1163" t="s">
        <v>321</v>
      </c>
      <c r="E33" s="1163" t="s">
        <v>321</v>
      </c>
      <c r="F33" s="1163" t="s">
        <v>321</v>
      </c>
      <c r="G33" s="1163" t="s">
        <v>321</v>
      </c>
      <c r="H33" s="1163" t="s">
        <v>39</v>
      </c>
      <c r="I33" s="1163" t="s">
        <v>39</v>
      </c>
      <c r="J33" s="1164" t="s">
        <v>39</v>
      </c>
      <c r="K33" s="958">
        <f t="shared" si="1"/>
        <v>397</v>
      </c>
      <c r="L33" s="1165">
        <v>36</v>
      </c>
      <c r="M33" s="1226">
        <v>485</v>
      </c>
      <c r="O33" s="1159"/>
    </row>
    <row r="34" spans="1:15" s="938" customFormat="1" ht="14.25" customHeight="1">
      <c r="A34" s="947" t="s">
        <v>251</v>
      </c>
      <c r="B34" s="1160">
        <f t="shared" si="0"/>
        <v>271</v>
      </c>
      <c r="C34" s="1161">
        <v>125</v>
      </c>
      <c r="D34" s="1163" t="s">
        <v>321</v>
      </c>
      <c r="E34" s="1163" t="s">
        <v>321</v>
      </c>
      <c r="F34" s="1163" t="s">
        <v>321</v>
      </c>
      <c r="G34" s="1163" t="s">
        <v>321</v>
      </c>
      <c r="H34" s="1163" t="s">
        <v>39</v>
      </c>
      <c r="I34" s="1230">
        <v>85</v>
      </c>
      <c r="J34" s="1164" t="s">
        <v>39</v>
      </c>
      <c r="K34" s="958">
        <f t="shared" si="1"/>
        <v>210</v>
      </c>
      <c r="L34" s="1165">
        <v>6</v>
      </c>
      <c r="M34" s="1226">
        <v>55</v>
      </c>
      <c r="O34" s="1159"/>
    </row>
    <row r="35" spans="1:15" s="938" customFormat="1" ht="14.25" customHeight="1">
      <c r="A35" s="947" t="s">
        <v>252</v>
      </c>
      <c r="B35" s="1160">
        <f t="shared" si="0"/>
        <v>1443</v>
      </c>
      <c r="C35" s="1161">
        <v>195</v>
      </c>
      <c r="D35" s="1167">
        <v>247</v>
      </c>
      <c r="E35" s="1163" t="s">
        <v>321</v>
      </c>
      <c r="F35" s="1163" t="s">
        <v>321</v>
      </c>
      <c r="G35" s="1230">
        <v>60</v>
      </c>
      <c r="H35" s="1163" t="s">
        <v>39</v>
      </c>
      <c r="I35" s="1167">
        <v>194</v>
      </c>
      <c r="J35" s="1164" t="s">
        <v>39</v>
      </c>
      <c r="K35" s="958">
        <f t="shared" si="1"/>
        <v>696</v>
      </c>
      <c r="L35" s="1165">
        <v>100</v>
      </c>
      <c r="M35" s="1226">
        <v>647</v>
      </c>
      <c r="O35" s="1159"/>
    </row>
    <row r="36" spans="1:15" s="938" customFormat="1" ht="14.25" customHeight="1">
      <c r="A36" s="947" t="s">
        <v>253</v>
      </c>
      <c r="B36" s="1160">
        <f t="shared" si="0"/>
        <v>548</v>
      </c>
      <c r="C36" s="1166" t="s">
        <v>321</v>
      </c>
      <c r="D36" s="1167">
        <v>24</v>
      </c>
      <c r="E36" s="1163" t="s">
        <v>321</v>
      </c>
      <c r="F36" s="1163" t="s">
        <v>321</v>
      </c>
      <c r="G36" s="1163" t="s">
        <v>321</v>
      </c>
      <c r="H36" s="1163" t="s">
        <v>39</v>
      </c>
      <c r="I36" s="1163" t="s">
        <v>39</v>
      </c>
      <c r="J36" s="1164" t="s">
        <v>39</v>
      </c>
      <c r="K36" s="958">
        <f t="shared" si="1"/>
        <v>24</v>
      </c>
      <c r="L36" s="1165">
        <v>75</v>
      </c>
      <c r="M36" s="1226">
        <v>449</v>
      </c>
      <c r="O36" s="1159"/>
    </row>
    <row r="37" spans="1:15" s="938" customFormat="1" ht="15.75" customHeight="1">
      <c r="A37" s="969" t="s">
        <v>5</v>
      </c>
      <c r="B37" s="1168">
        <f t="shared" si="0"/>
        <v>38623</v>
      </c>
      <c r="C37" s="1232">
        <f aca="true" t="shared" si="2" ref="C37:I37">SUM(C5:C36)</f>
        <v>8469</v>
      </c>
      <c r="D37" s="971">
        <f t="shared" si="2"/>
        <v>2517</v>
      </c>
      <c r="E37" s="971">
        <f t="shared" si="2"/>
        <v>4196</v>
      </c>
      <c r="F37" s="971">
        <f t="shared" si="2"/>
        <v>539</v>
      </c>
      <c r="G37" s="971">
        <f t="shared" si="2"/>
        <v>379</v>
      </c>
      <c r="H37" s="1173">
        <f t="shared" si="2"/>
        <v>783</v>
      </c>
      <c r="I37" s="1233">
        <f t="shared" si="2"/>
        <v>422</v>
      </c>
      <c r="J37" s="1174">
        <f>SUM(J6:J36)</f>
        <v>67</v>
      </c>
      <c r="K37" s="974">
        <f>SUM(C37:J37)</f>
        <v>17372</v>
      </c>
      <c r="L37" s="1169">
        <f>SUM(L5:L36)</f>
        <v>10003</v>
      </c>
      <c r="M37" s="1229">
        <f>SUM(M5:M36)</f>
        <v>11248</v>
      </c>
      <c r="O37" s="1159"/>
    </row>
    <row r="38" spans="1:13" s="938" customFormat="1" ht="6" customHeight="1">
      <c r="A38" s="975"/>
      <c r="B38" s="975"/>
      <c r="C38" s="957"/>
      <c r="D38" s="957"/>
      <c r="E38" s="957"/>
      <c r="F38" s="957"/>
      <c r="G38" s="957"/>
      <c r="H38" s="957"/>
      <c r="I38" s="957"/>
      <c r="J38" s="957"/>
      <c r="K38" s="957"/>
      <c r="L38" s="957"/>
      <c r="M38" s="957"/>
    </row>
    <row r="39" spans="1:13" s="938" customFormat="1" ht="15.75" customHeight="1">
      <c r="A39" s="976" t="s">
        <v>255</v>
      </c>
      <c r="B39" s="976"/>
      <c r="C39" s="957"/>
      <c r="D39" s="957"/>
      <c r="E39" s="957"/>
      <c r="F39" s="957"/>
      <c r="G39" s="978"/>
      <c r="H39" s="979"/>
      <c r="I39" s="957"/>
      <c r="J39" s="957"/>
      <c r="K39" s="957"/>
      <c r="L39" s="957"/>
      <c r="M39" s="957"/>
    </row>
    <row r="40" spans="1:15" ht="15.75" customHeight="1">
      <c r="A40" s="977" t="s">
        <v>404</v>
      </c>
      <c r="B40" s="977"/>
      <c r="O40" s="980"/>
    </row>
    <row r="41" ht="15">
      <c r="M41" s="980"/>
    </row>
  </sheetData>
  <sheetProtection/>
  <mergeCells count="5">
    <mergeCell ref="M3:M4"/>
    <mergeCell ref="A3:A4"/>
    <mergeCell ref="B3:B4"/>
    <mergeCell ref="C3:J3"/>
    <mergeCell ref="L3:L4"/>
  </mergeCells>
  <printOptions/>
  <pageMargins left="0.25" right="0.25" top="1" bottom="0.25" header="0.5" footer="0.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1.8515625" style="2" customWidth="1"/>
    <col min="2" max="2" width="41.421875" style="2" customWidth="1"/>
    <col min="3" max="3" width="11.57421875" style="4" customWidth="1"/>
    <col min="4" max="4" width="7.7109375" style="5" customWidth="1"/>
    <col min="5" max="5" width="11.140625" style="4" customWidth="1"/>
    <col min="6" max="6" width="8.421875" style="5" customWidth="1"/>
    <col min="7" max="7" width="2.57421875" style="2" customWidth="1"/>
    <col min="8" max="8" width="9.140625" style="2" customWidth="1"/>
    <col min="9" max="9" width="11.140625" style="4" customWidth="1"/>
    <col min="10" max="10" width="7.57421875" style="5" customWidth="1"/>
    <col min="11" max="11" width="11.140625" style="4" customWidth="1"/>
    <col min="12" max="12" width="7.57421875" style="5" customWidth="1"/>
    <col min="13" max="13" width="11.140625" style="4" customWidth="1"/>
    <col min="14" max="14" width="9.421875" style="5" customWidth="1"/>
    <col min="15" max="16384" width="9.140625" style="2" customWidth="1"/>
  </cols>
  <sheetData>
    <row r="1" spans="1:14" ht="15">
      <c r="A1" s="1148"/>
      <c r="B1" s="3"/>
      <c r="C1" s="3"/>
      <c r="D1" s="3"/>
      <c r="E1" s="3"/>
      <c r="F1" s="3"/>
      <c r="I1" s="2"/>
      <c r="J1" s="2"/>
      <c r="K1" s="2"/>
      <c r="L1" s="2"/>
      <c r="M1" s="2"/>
      <c r="N1" s="2"/>
    </row>
    <row r="2" ht="9.75" customHeight="1"/>
    <row r="3" ht="15.75" customHeight="1">
      <c r="A3" s="3" t="s">
        <v>447</v>
      </c>
    </row>
    <row r="4" ht="13.5" customHeight="1">
      <c r="A4" s="3"/>
    </row>
    <row r="5" spans="2:15" ht="12.75" customHeight="1">
      <c r="B5" s="3"/>
      <c r="F5" s="5" t="s">
        <v>0</v>
      </c>
      <c r="I5"/>
      <c r="J5"/>
      <c r="K5"/>
      <c r="L5"/>
      <c r="M5"/>
      <c r="N5"/>
      <c r="O5"/>
    </row>
    <row r="6" spans="1:15" ht="21" customHeight="1">
      <c r="A6" s="6"/>
      <c r="B6" s="7"/>
      <c r="C6" s="1264" t="s">
        <v>263</v>
      </c>
      <c r="D6" s="1265"/>
      <c r="E6" s="1264" t="s">
        <v>448</v>
      </c>
      <c r="F6" s="1265"/>
      <c r="I6"/>
      <c r="J6"/>
      <c r="K6"/>
      <c r="L6"/>
      <c r="M6"/>
      <c r="N6"/>
      <c r="O6"/>
    </row>
    <row r="7" spans="1:15" s="12" customFormat="1" ht="26.25" customHeight="1">
      <c r="A7" s="10"/>
      <c r="B7" s="11" t="s">
        <v>1</v>
      </c>
      <c r="C7" s="1269">
        <v>74800</v>
      </c>
      <c r="D7" s="1270"/>
      <c r="E7" s="1269">
        <v>39530</v>
      </c>
      <c r="F7" s="1270"/>
      <c r="I7"/>
      <c r="J7"/>
      <c r="K7"/>
      <c r="L7"/>
      <c r="M7"/>
      <c r="N7"/>
      <c r="O7"/>
    </row>
    <row r="8" spans="1:15" ht="21.75" customHeight="1">
      <c r="A8" s="13"/>
      <c r="B8" s="998" t="s">
        <v>264</v>
      </c>
      <c r="C8" s="1266"/>
      <c r="D8" s="1267"/>
      <c r="E8" s="1266"/>
      <c r="F8" s="1267"/>
      <c r="I8"/>
      <c r="J8"/>
      <c r="K8"/>
      <c r="L8"/>
      <c r="M8"/>
      <c r="N8"/>
      <c r="O8"/>
    </row>
    <row r="9" spans="1:15" ht="21.75" customHeight="1">
      <c r="A9" s="13"/>
      <c r="B9" s="998" t="s">
        <v>265</v>
      </c>
      <c r="C9" s="1266">
        <v>8020.3</v>
      </c>
      <c r="D9" s="1268"/>
      <c r="E9" s="1266">
        <v>4208.2</v>
      </c>
      <c r="F9" s="1268"/>
      <c r="I9"/>
      <c r="J9"/>
      <c r="K9"/>
      <c r="L9"/>
      <c r="M9"/>
      <c r="N9"/>
      <c r="O9"/>
    </row>
    <row r="10" spans="1:15" ht="6.75" customHeight="1">
      <c r="A10" s="14"/>
      <c r="B10" s="15"/>
      <c r="C10" s="16"/>
      <c r="D10" s="17"/>
      <c r="E10" s="16"/>
      <c r="F10" s="17"/>
      <c r="I10"/>
      <c r="J10"/>
      <c r="K10"/>
      <c r="L10"/>
      <c r="M10"/>
      <c r="N10"/>
      <c r="O10"/>
    </row>
    <row r="11" spans="1:15" ht="17.25" customHeight="1">
      <c r="A11" s="18"/>
      <c r="B11" s="19"/>
      <c r="C11" s="20"/>
      <c r="D11" s="21"/>
      <c r="E11" s="22"/>
      <c r="F11" s="21"/>
      <c r="I11"/>
      <c r="J11"/>
      <c r="K11"/>
      <c r="L11"/>
      <c r="M11"/>
      <c r="N11"/>
      <c r="O11"/>
    </row>
    <row r="12" spans="1:15" ht="12" customHeight="1">
      <c r="A12" s="18"/>
      <c r="B12" s="26"/>
      <c r="C12" s="27"/>
      <c r="D12" s="27"/>
      <c r="E12" s="27"/>
      <c r="F12" s="27"/>
      <c r="I12"/>
      <c r="J12"/>
      <c r="K12"/>
      <c r="L12"/>
      <c r="M12"/>
      <c r="N12"/>
      <c r="O12"/>
    </row>
    <row r="13" spans="1:15" ht="21" customHeight="1">
      <c r="A13" s="28" t="s">
        <v>449</v>
      </c>
      <c r="I13"/>
      <c r="J13"/>
      <c r="K13"/>
      <c r="L13"/>
      <c r="M13"/>
      <c r="N13"/>
      <c r="O13"/>
    </row>
    <row r="14" spans="2:15" ht="18.75" customHeight="1">
      <c r="B14" s="28"/>
      <c r="F14" s="5" t="s">
        <v>0</v>
      </c>
      <c r="I14"/>
      <c r="J14"/>
      <c r="K14"/>
      <c r="L14"/>
      <c r="M14"/>
      <c r="N14"/>
      <c r="O14"/>
    </row>
    <row r="15" spans="1:15" ht="19.5" customHeight="1">
      <c r="A15" s="6"/>
      <c r="B15" s="29"/>
      <c r="C15" s="1264" t="s">
        <v>263</v>
      </c>
      <c r="D15" s="1265"/>
      <c r="E15" s="1264" t="s">
        <v>448</v>
      </c>
      <c r="F15" s="1265"/>
      <c r="I15"/>
      <c r="J15"/>
      <c r="K15"/>
      <c r="L15"/>
      <c r="M15"/>
      <c r="N15"/>
      <c r="O15"/>
    </row>
    <row r="16" spans="1:15" ht="19.5" customHeight="1">
      <c r="A16" s="13"/>
      <c r="B16" s="30"/>
      <c r="C16" s="31" t="s">
        <v>6</v>
      </c>
      <c r="D16" s="32" t="s">
        <v>7</v>
      </c>
      <c r="E16" s="31" t="s">
        <v>6</v>
      </c>
      <c r="F16" s="32" t="s">
        <v>7</v>
      </c>
      <c r="I16"/>
      <c r="J16"/>
      <c r="K16"/>
      <c r="L16"/>
      <c r="M16"/>
      <c r="N16"/>
      <c r="O16"/>
    </row>
    <row r="17" spans="1:15" ht="21" customHeight="1">
      <c r="A17" s="13"/>
      <c r="B17" s="33" t="s">
        <v>450</v>
      </c>
      <c r="C17" s="34"/>
      <c r="D17" s="35"/>
      <c r="E17" s="34"/>
      <c r="F17" s="35"/>
      <c r="I17"/>
      <c r="J17"/>
      <c r="K17"/>
      <c r="L17"/>
      <c r="M17"/>
      <c r="N17"/>
      <c r="O17"/>
    </row>
    <row r="18" spans="1:15" ht="21" customHeight="1">
      <c r="A18" s="13"/>
      <c r="B18" s="23" t="s">
        <v>3</v>
      </c>
      <c r="C18" s="37">
        <f>SUM(C19:C25)</f>
        <v>8020.3</v>
      </c>
      <c r="D18" s="36">
        <f>(C18/$C$34)*100</f>
        <v>94.10736286300968</v>
      </c>
      <c r="E18" s="37">
        <f>SUM(E19:E25)</f>
        <v>4208.099999999999</v>
      </c>
      <c r="F18" s="36">
        <f>(E18/$E$34)*100</f>
        <v>94.14936459638447</v>
      </c>
      <c r="I18"/>
      <c r="J18"/>
      <c r="K18"/>
      <c r="L18"/>
      <c r="M18"/>
      <c r="N18"/>
      <c r="O18"/>
    </row>
    <row r="19" spans="1:15" ht="21" customHeight="1">
      <c r="A19" s="13"/>
      <c r="B19" s="38" t="s">
        <v>8</v>
      </c>
      <c r="C19" s="40">
        <v>125.1</v>
      </c>
      <c r="D19" s="39">
        <f>C19/$C$34*100</f>
        <v>1.4678791434438252</v>
      </c>
      <c r="E19" s="40">
        <v>66.1</v>
      </c>
      <c r="F19" s="39">
        <f aca="true" t="shared" si="0" ref="F19:F33">E19/$E$34*100</f>
        <v>1.478879541793449</v>
      </c>
      <c r="I19"/>
      <c r="J19"/>
      <c r="K19"/>
      <c r="L19"/>
      <c r="M19"/>
      <c r="N19"/>
      <c r="O19"/>
    </row>
    <row r="20" spans="1:15" ht="21" customHeight="1">
      <c r="A20" s="13"/>
      <c r="B20" s="38" t="s">
        <v>9</v>
      </c>
      <c r="C20" s="40">
        <v>2182.2</v>
      </c>
      <c r="D20" s="39">
        <f aca="true" t="shared" si="1" ref="D20:D33">C20/$C$34*100</f>
        <v>25.605162804341447</v>
      </c>
      <c r="E20" s="40">
        <v>1153.9</v>
      </c>
      <c r="F20" s="39">
        <f t="shared" si="0"/>
        <v>25.816627886164316</v>
      </c>
      <c r="I20"/>
      <c r="J20"/>
      <c r="K20"/>
      <c r="L20"/>
      <c r="M20"/>
      <c r="N20"/>
      <c r="O20"/>
    </row>
    <row r="21" spans="1:15" ht="21" customHeight="1">
      <c r="A21" s="13"/>
      <c r="B21" s="38" t="s">
        <v>10</v>
      </c>
      <c r="C21" s="40">
        <v>4114.8</v>
      </c>
      <c r="D21" s="39">
        <f t="shared" si="1"/>
        <v>48.28160750953359</v>
      </c>
      <c r="E21" s="40">
        <v>2163.1</v>
      </c>
      <c r="F21" s="39">
        <f t="shared" si="0"/>
        <v>48.39582960443888</v>
      </c>
      <c r="I21"/>
      <c r="J21"/>
      <c r="K21"/>
      <c r="L21"/>
      <c r="M21"/>
      <c r="N21"/>
      <c r="O21"/>
    </row>
    <row r="22" spans="1:15" ht="21" customHeight="1">
      <c r="A22" s="13"/>
      <c r="B22" s="38" t="s">
        <v>11</v>
      </c>
      <c r="C22" s="40">
        <v>370.8</v>
      </c>
      <c r="D22" s="39">
        <f t="shared" si="1"/>
        <v>4.350836022293928</v>
      </c>
      <c r="E22" s="40">
        <v>184.6</v>
      </c>
      <c r="F22" s="39">
        <f t="shared" si="0"/>
        <v>4.130123500984428</v>
      </c>
      <c r="I22"/>
      <c r="J22"/>
      <c r="K22"/>
      <c r="L22"/>
      <c r="M22"/>
      <c r="N22"/>
      <c r="O22"/>
    </row>
    <row r="23" spans="1:15" ht="21" customHeight="1">
      <c r="A23" s="13"/>
      <c r="B23" s="38" t="s">
        <v>266</v>
      </c>
      <c r="C23" s="40">
        <v>642.7</v>
      </c>
      <c r="D23" s="39">
        <f t="shared" si="1"/>
        <v>7.541214432384864</v>
      </c>
      <c r="E23" s="40">
        <v>323.4</v>
      </c>
      <c r="F23" s="39">
        <f t="shared" si="0"/>
        <v>7.235546805083229</v>
      </c>
      <c r="I23"/>
      <c r="J23"/>
      <c r="K23"/>
      <c r="L23"/>
      <c r="M23"/>
      <c r="N23"/>
      <c r="O23"/>
    </row>
    <row r="24" spans="1:15" ht="21" customHeight="1">
      <c r="A24" s="13"/>
      <c r="B24" s="999" t="s">
        <v>267</v>
      </c>
      <c r="C24" s="40">
        <v>285.8</v>
      </c>
      <c r="D24" s="39">
        <f t="shared" si="1"/>
        <v>3.3534760926958054</v>
      </c>
      <c r="E24" s="40">
        <v>146.2</v>
      </c>
      <c r="F24" s="39">
        <f t="shared" si="0"/>
        <v>3.2709862180060854</v>
      </c>
      <c r="I24"/>
      <c r="J24"/>
      <c r="K24"/>
      <c r="L24"/>
      <c r="M24"/>
      <c r="N24"/>
      <c r="O24"/>
    </row>
    <row r="25" spans="1:15" ht="21" customHeight="1">
      <c r="A25" s="13"/>
      <c r="B25" s="38" t="s">
        <v>268</v>
      </c>
      <c r="C25" s="40">
        <v>298.9</v>
      </c>
      <c r="D25" s="39">
        <f t="shared" si="1"/>
        <v>3.507186858316221</v>
      </c>
      <c r="E25" s="40">
        <v>170.8</v>
      </c>
      <c r="F25" s="39">
        <f t="shared" si="0"/>
        <v>3.821371039914087</v>
      </c>
      <c r="I25"/>
      <c r="J25"/>
      <c r="K25"/>
      <c r="L25"/>
      <c r="M25"/>
      <c r="N25"/>
      <c r="O25"/>
    </row>
    <row r="26" spans="1:15" ht="21" customHeight="1">
      <c r="A26" s="13"/>
      <c r="B26" s="33" t="s">
        <v>269</v>
      </c>
      <c r="C26" s="41">
        <f>C27+C28+C29++C31+C32</f>
        <v>169.29999999999998</v>
      </c>
      <c r="D26" s="36">
        <f t="shared" si="1"/>
        <v>1.986506306834849</v>
      </c>
      <c r="E26" s="41">
        <f>E27+E28+E29++E31+E32</f>
        <v>93.9</v>
      </c>
      <c r="F26" s="36">
        <f t="shared" si="0"/>
        <v>2.1008591372829786</v>
      </c>
      <c r="G26" s="42"/>
      <c r="I26"/>
      <c r="J26"/>
      <c r="K26"/>
      <c r="L26"/>
      <c r="M26"/>
      <c r="N26"/>
      <c r="O26"/>
    </row>
    <row r="27" spans="1:15" ht="21" customHeight="1">
      <c r="A27" s="13"/>
      <c r="B27" s="43" t="s">
        <v>12</v>
      </c>
      <c r="C27" s="40">
        <v>3.6</v>
      </c>
      <c r="D27" s="39">
        <f t="shared" si="1"/>
        <v>0.042241126430038134</v>
      </c>
      <c r="E27" s="40">
        <v>2.3</v>
      </c>
      <c r="F27" s="39">
        <f t="shared" si="0"/>
        <v>0.051458743511723644</v>
      </c>
      <c r="G27" s="42"/>
      <c r="I27"/>
      <c r="J27"/>
      <c r="K27"/>
      <c r="L27"/>
      <c r="M27"/>
      <c r="N27"/>
      <c r="O27"/>
    </row>
    <row r="28" spans="1:15" ht="21" customHeight="1">
      <c r="A28" s="13"/>
      <c r="B28" s="43" t="s">
        <v>9</v>
      </c>
      <c r="C28" s="40">
        <v>102.9</v>
      </c>
      <c r="D28" s="39">
        <f t="shared" si="1"/>
        <v>1.2073921971252568</v>
      </c>
      <c r="E28" s="40">
        <v>65.4</v>
      </c>
      <c r="F28" s="39">
        <f t="shared" si="0"/>
        <v>1.46321818507249</v>
      </c>
      <c r="I28"/>
      <c r="J28"/>
      <c r="K28"/>
      <c r="L28"/>
      <c r="M28"/>
      <c r="N28"/>
      <c r="O28"/>
    </row>
    <row r="29" spans="1:15" ht="21" customHeight="1">
      <c r="A29" s="13"/>
      <c r="B29" s="1000" t="s">
        <v>270</v>
      </c>
      <c r="C29" s="40">
        <v>37.1</v>
      </c>
      <c r="D29" s="39">
        <f t="shared" si="1"/>
        <v>0.43531827515400406</v>
      </c>
      <c r="E29" s="40">
        <v>11.2</v>
      </c>
      <c r="F29" s="39">
        <f t="shared" si="0"/>
        <v>0.25058170753535</v>
      </c>
      <c r="I29"/>
      <c r="J29"/>
      <c r="K29"/>
      <c r="L29"/>
      <c r="M29"/>
      <c r="N29"/>
      <c r="O29"/>
    </row>
    <row r="30" spans="1:15" ht="21" customHeight="1">
      <c r="A30" s="13"/>
      <c r="B30" s="38" t="s">
        <v>11</v>
      </c>
      <c r="C30" s="40">
        <v>0.5</v>
      </c>
      <c r="D30" s="39">
        <f t="shared" si="1"/>
        <v>0.005866823115283074</v>
      </c>
      <c r="E30" s="40">
        <v>0.2</v>
      </c>
      <c r="F30" s="39">
        <f t="shared" si="0"/>
        <v>0.004474673348845535</v>
      </c>
      <c r="I30"/>
      <c r="J30"/>
      <c r="K30"/>
      <c r="L30"/>
      <c r="M30"/>
      <c r="N30"/>
      <c r="O30"/>
    </row>
    <row r="31" spans="1:15" ht="21" customHeight="1">
      <c r="A31" s="13"/>
      <c r="B31" s="38" t="s">
        <v>266</v>
      </c>
      <c r="C31" s="40">
        <v>5</v>
      </c>
      <c r="D31" s="39">
        <f t="shared" si="1"/>
        <v>0.05866823115283074</v>
      </c>
      <c r="E31" s="40">
        <v>4</v>
      </c>
      <c r="F31" s="39">
        <f t="shared" si="0"/>
        <v>0.0894934669769107</v>
      </c>
      <c r="I31"/>
      <c r="J31"/>
      <c r="K31"/>
      <c r="L31"/>
      <c r="M31"/>
      <c r="N31"/>
      <c r="O31"/>
    </row>
    <row r="32" spans="1:15" ht="21" customHeight="1">
      <c r="A32" s="13"/>
      <c r="B32" s="1000" t="s">
        <v>271</v>
      </c>
      <c r="C32" s="40">
        <v>20.7</v>
      </c>
      <c r="D32" s="39">
        <f t="shared" si="1"/>
        <v>0.24288647697271928</v>
      </c>
      <c r="E32" s="40">
        <v>11</v>
      </c>
      <c r="F32" s="39">
        <f t="shared" si="0"/>
        <v>0.24610703418650443</v>
      </c>
      <c r="I32"/>
      <c r="J32"/>
      <c r="K32"/>
      <c r="L32"/>
      <c r="M32"/>
      <c r="N32"/>
      <c r="O32"/>
    </row>
    <row r="33" spans="1:15" ht="21" customHeight="1">
      <c r="A33" s="14"/>
      <c r="B33" s="44" t="s">
        <v>272</v>
      </c>
      <c r="C33" s="45">
        <v>332.9</v>
      </c>
      <c r="D33" s="36">
        <f t="shared" si="1"/>
        <v>3.9061308301554707</v>
      </c>
      <c r="E33" s="45">
        <v>167.6</v>
      </c>
      <c r="F33" s="36">
        <f t="shared" si="0"/>
        <v>3.749776266332558</v>
      </c>
      <c r="I33"/>
      <c r="J33"/>
      <c r="K33"/>
      <c r="L33"/>
      <c r="M33"/>
      <c r="N33"/>
      <c r="O33"/>
    </row>
    <row r="34" spans="1:15" ht="22.5" customHeight="1">
      <c r="A34" s="14"/>
      <c r="B34" s="44" t="s">
        <v>14</v>
      </c>
      <c r="C34" s="46">
        <f>SUM(C18,C26,C33)</f>
        <v>8522.5</v>
      </c>
      <c r="D34" s="47">
        <f>D18+D26+D33</f>
        <v>100.00000000000001</v>
      </c>
      <c r="E34" s="46">
        <f>SUM(E18,E26,E33)</f>
        <v>4469.599999999999</v>
      </c>
      <c r="F34" s="47">
        <f>F18+F26+F33</f>
        <v>100.00000000000001</v>
      </c>
      <c r="I34"/>
      <c r="J34"/>
      <c r="K34"/>
      <c r="L34"/>
      <c r="M34"/>
      <c r="N34"/>
      <c r="O34"/>
    </row>
    <row r="35" spans="1:15" ht="22.5" customHeight="1">
      <c r="A35" s="18"/>
      <c r="B35" s="1001"/>
      <c r="C35" s="1002"/>
      <c r="D35" s="1003"/>
      <c r="E35" s="1002"/>
      <c r="F35" s="1003"/>
      <c r="I35"/>
      <c r="J35"/>
      <c r="K35"/>
      <c r="L35"/>
      <c r="M35"/>
      <c r="N35"/>
      <c r="O35"/>
    </row>
    <row r="36" spans="2:15" ht="20.25" customHeight="1">
      <c r="B36" s="48" t="s">
        <v>451</v>
      </c>
      <c r="C36" s="48"/>
      <c r="D36" s="49"/>
      <c r="I36"/>
      <c r="J36"/>
      <c r="K36"/>
      <c r="L36"/>
      <c r="M36"/>
      <c r="N36"/>
      <c r="O36"/>
    </row>
    <row r="37" spans="2:15" ht="20.25" customHeight="1">
      <c r="B37" s="48" t="s">
        <v>273</v>
      </c>
      <c r="C37" s="49"/>
      <c r="D37" s="4"/>
      <c r="I37"/>
      <c r="J37"/>
      <c r="K37"/>
      <c r="L37"/>
      <c r="M37"/>
      <c r="N37"/>
      <c r="O37"/>
    </row>
    <row r="38" spans="2:15" ht="20.25" customHeight="1">
      <c r="B38" s="48" t="s">
        <v>274</v>
      </c>
      <c r="C38" s="49"/>
      <c r="D38" s="4"/>
      <c r="I38"/>
      <c r="J38"/>
      <c r="K38"/>
      <c r="L38"/>
      <c r="M38"/>
      <c r="N38"/>
      <c r="O38"/>
    </row>
    <row r="39" spans="2:15" ht="20.25" customHeight="1">
      <c r="B39" s="48" t="s">
        <v>15</v>
      </c>
      <c r="C39" s="49"/>
      <c r="I39"/>
      <c r="J39"/>
      <c r="K39"/>
      <c r="L39"/>
      <c r="M39"/>
      <c r="N39"/>
      <c r="O39"/>
    </row>
    <row r="40" spans="2:15" ht="20.25" customHeight="1">
      <c r="B40" s="1553" t="s">
        <v>452</v>
      </c>
      <c r="I40"/>
      <c r="J40"/>
      <c r="K40"/>
      <c r="L40"/>
      <c r="M40"/>
      <c r="N40"/>
      <c r="O40"/>
    </row>
    <row r="41" ht="15.75" customHeight="1">
      <c r="B41" s="51"/>
    </row>
    <row r="42" ht="15">
      <c r="J42" s="50"/>
    </row>
  </sheetData>
  <sheetProtection/>
  <mergeCells count="10">
    <mergeCell ref="C6:D6"/>
    <mergeCell ref="E6:F6"/>
    <mergeCell ref="C15:D15"/>
    <mergeCell ref="E15:F15"/>
    <mergeCell ref="E8:F8"/>
    <mergeCell ref="C9:D9"/>
    <mergeCell ref="E9:F9"/>
    <mergeCell ref="C7:D7"/>
    <mergeCell ref="E7:F7"/>
    <mergeCell ref="C8:D8"/>
  </mergeCells>
  <printOptions/>
  <pageMargins left="0.58" right="0.25" top="0.67" bottom="0.1" header="0.36" footer="0.31"/>
  <pageSetup horizontalDpi="300" verticalDpi="300" orientation="portrait" paperSize="9" r:id="rId3"/>
  <headerFooter alignWithMargins="0">
    <oddHeader>&amp;C- 8 -</oddHead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P7" sqref="P7"/>
    </sheetView>
  </sheetViews>
  <sheetFormatPr defaultColWidth="9.140625" defaultRowHeight="12.75"/>
  <cols>
    <col min="1" max="1" width="16.140625" style="2" customWidth="1"/>
    <col min="2" max="2" width="3.421875" style="2" customWidth="1"/>
    <col min="3" max="4" width="12.7109375" style="2" customWidth="1"/>
    <col min="5" max="5" width="6.8515625" style="2" customWidth="1"/>
    <col min="6" max="6" width="2.57421875" style="2" customWidth="1"/>
    <col min="7" max="7" width="2.28125" style="2" customWidth="1"/>
    <col min="8" max="8" width="6.7109375" style="2" customWidth="1"/>
    <col min="9" max="9" width="4.57421875" style="2" customWidth="1"/>
    <col min="10" max="10" width="3.140625" style="2" customWidth="1"/>
    <col min="11" max="12" width="4.421875" style="2" customWidth="1"/>
    <col min="13" max="13" width="11.140625" style="2" customWidth="1"/>
    <col min="14" max="14" width="6.00390625" style="53" customWidth="1"/>
    <col min="15" max="16384" width="9.140625" style="53" customWidth="1"/>
  </cols>
  <sheetData>
    <row r="1" spans="1:4" ht="24.75" customHeight="1">
      <c r="A1" s="52" t="s">
        <v>439</v>
      </c>
      <c r="B1" s="52"/>
      <c r="C1" s="52"/>
      <c r="D1" s="52"/>
    </row>
    <row r="2" spans="1:4" ht="6" customHeight="1">
      <c r="A2" s="25"/>
      <c r="B2" s="52"/>
      <c r="C2" s="52"/>
      <c r="D2" s="52"/>
    </row>
    <row r="3" spans="1:13" ht="15" customHeight="1">
      <c r="A3" s="1271" t="s">
        <v>16</v>
      </c>
      <c r="B3" s="1272"/>
      <c r="C3" s="1273"/>
      <c r="D3" s="1280" t="s">
        <v>17</v>
      </c>
      <c r="E3" s="1280"/>
      <c r="F3" s="1280"/>
      <c r="G3" s="1280"/>
      <c r="H3" s="1280"/>
      <c r="I3" s="1280"/>
      <c r="J3" s="1280"/>
      <c r="K3" s="1280"/>
      <c r="L3" s="1280"/>
      <c r="M3" s="1280"/>
    </row>
    <row r="4" spans="1:13" s="54" customFormat="1" ht="15" customHeight="1">
      <c r="A4" s="1274"/>
      <c r="B4" s="1275"/>
      <c r="C4" s="1276"/>
      <c r="D4" s="1281" t="s">
        <v>5</v>
      </c>
      <c r="E4" s="1281" t="s">
        <v>440</v>
      </c>
      <c r="F4" s="1281"/>
      <c r="G4" s="1281"/>
      <c r="H4" s="1281" t="s">
        <v>344</v>
      </c>
      <c r="I4" s="1281"/>
      <c r="J4" s="1283" t="s">
        <v>18</v>
      </c>
      <c r="K4" s="1283"/>
      <c r="L4" s="1283"/>
      <c r="M4" s="1281" t="s">
        <v>19</v>
      </c>
    </row>
    <row r="5" spans="1:13" s="54" customFormat="1" ht="14.25" customHeight="1">
      <c r="A5" s="1277"/>
      <c r="B5" s="1278"/>
      <c r="C5" s="1279"/>
      <c r="D5" s="1282"/>
      <c r="E5" s="1282"/>
      <c r="F5" s="1282"/>
      <c r="G5" s="1282"/>
      <c r="H5" s="1282"/>
      <c r="I5" s="1282"/>
      <c r="J5" s="1284" t="s">
        <v>20</v>
      </c>
      <c r="K5" s="1284"/>
      <c r="L5" s="1284"/>
      <c r="M5" s="1282"/>
    </row>
    <row r="6" spans="1:13" s="2" customFormat="1" ht="24" customHeight="1">
      <c r="A6" s="55" t="s">
        <v>21</v>
      </c>
      <c r="B6" s="52"/>
      <c r="C6" s="52"/>
      <c r="D6" s="56">
        <f aca="true" t="shared" si="0" ref="D6:D17">SUM(E6,H6,J6,M6)</f>
        <v>138</v>
      </c>
      <c r="E6" s="1285">
        <v>18</v>
      </c>
      <c r="F6" s="1286"/>
      <c r="G6" s="1287"/>
      <c r="H6" s="1288">
        <v>1</v>
      </c>
      <c r="I6" s="1289"/>
      <c r="J6" s="1290">
        <v>16</v>
      </c>
      <c r="K6" s="1291"/>
      <c r="L6" s="1292"/>
      <c r="M6" s="57">
        <f>9+94</f>
        <v>103</v>
      </c>
    </row>
    <row r="7" spans="1:13" s="2" customFormat="1" ht="24" customHeight="1">
      <c r="A7" s="55" t="s">
        <v>22</v>
      </c>
      <c r="B7" s="52"/>
      <c r="C7" s="52"/>
      <c r="D7" s="56">
        <f t="shared" si="0"/>
        <v>108</v>
      </c>
      <c r="E7" s="1293">
        <v>23</v>
      </c>
      <c r="F7" s="1294"/>
      <c r="G7" s="1295"/>
      <c r="H7" s="1296">
        <v>1</v>
      </c>
      <c r="I7" s="1296"/>
      <c r="J7" s="1297">
        <v>1</v>
      </c>
      <c r="K7" s="1298"/>
      <c r="L7" s="1299"/>
      <c r="M7" s="57">
        <f>1+82</f>
        <v>83</v>
      </c>
    </row>
    <row r="8" spans="1:16" s="2" customFormat="1" ht="24" customHeight="1">
      <c r="A8" s="55" t="s">
        <v>23</v>
      </c>
      <c r="B8" s="52"/>
      <c r="C8" s="52"/>
      <c r="D8" s="56">
        <f t="shared" si="0"/>
        <v>100</v>
      </c>
      <c r="E8" s="1293">
        <v>23</v>
      </c>
      <c r="F8" s="1294"/>
      <c r="G8" s="1295"/>
      <c r="H8" s="1300" t="s">
        <v>39</v>
      </c>
      <c r="I8" s="1301"/>
      <c r="J8" s="1297">
        <v>2</v>
      </c>
      <c r="K8" s="1298"/>
      <c r="L8" s="1299"/>
      <c r="M8" s="57">
        <f>1+74</f>
        <v>75</v>
      </c>
      <c r="O8" s="988"/>
      <c r="P8" s="988"/>
    </row>
    <row r="9" spans="1:13" s="2" customFormat="1" ht="24" customHeight="1">
      <c r="A9" s="55" t="s">
        <v>24</v>
      </c>
      <c r="B9" s="52"/>
      <c r="C9" s="52"/>
      <c r="D9" s="56">
        <f t="shared" si="0"/>
        <v>124</v>
      </c>
      <c r="E9" s="1293">
        <v>29</v>
      </c>
      <c r="F9" s="1294"/>
      <c r="G9" s="1295"/>
      <c r="H9" s="1296">
        <v>3</v>
      </c>
      <c r="I9" s="1296"/>
      <c r="J9" s="1297">
        <v>1</v>
      </c>
      <c r="K9" s="1298"/>
      <c r="L9" s="1299"/>
      <c r="M9" s="90">
        <f>1+90</f>
        <v>91</v>
      </c>
    </row>
    <row r="10" spans="1:13" s="2" customFormat="1" ht="24" customHeight="1">
      <c r="A10" s="55" t="s">
        <v>25</v>
      </c>
      <c r="B10" s="52"/>
      <c r="C10" s="52"/>
      <c r="D10" s="56">
        <f t="shared" si="0"/>
        <v>102</v>
      </c>
      <c r="E10" s="1293">
        <v>19</v>
      </c>
      <c r="F10" s="1294"/>
      <c r="G10" s="1295"/>
      <c r="H10" s="1296">
        <v>1</v>
      </c>
      <c r="I10" s="1296"/>
      <c r="J10" s="1297">
        <v>11</v>
      </c>
      <c r="K10" s="1298"/>
      <c r="L10" s="1299"/>
      <c r="M10" s="57">
        <f>3+68</f>
        <v>71</v>
      </c>
    </row>
    <row r="11" spans="1:13" s="2" customFormat="1" ht="24" customHeight="1">
      <c r="A11" s="55" t="s">
        <v>26</v>
      </c>
      <c r="B11" s="52"/>
      <c r="C11" s="52"/>
      <c r="D11" s="56">
        <f t="shared" si="0"/>
        <v>60</v>
      </c>
      <c r="E11" s="1293">
        <v>10</v>
      </c>
      <c r="F11" s="1294"/>
      <c r="G11" s="1295"/>
      <c r="H11" s="1296">
        <v>1</v>
      </c>
      <c r="I11" s="1296"/>
      <c r="J11" s="1297">
        <v>2</v>
      </c>
      <c r="K11" s="1298"/>
      <c r="L11" s="1299"/>
      <c r="M11" s="57">
        <f>2+45</f>
        <v>47</v>
      </c>
    </row>
    <row r="12" spans="1:13" s="2" customFormat="1" ht="24" customHeight="1">
      <c r="A12" s="55" t="s">
        <v>27</v>
      </c>
      <c r="B12" s="52"/>
      <c r="C12" s="52"/>
      <c r="D12" s="56">
        <f t="shared" si="0"/>
        <v>303</v>
      </c>
      <c r="E12" s="1293">
        <v>31</v>
      </c>
      <c r="F12" s="1294"/>
      <c r="G12" s="1295"/>
      <c r="H12" s="1296">
        <v>2</v>
      </c>
      <c r="I12" s="1296"/>
      <c r="J12" s="1297">
        <v>27</v>
      </c>
      <c r="K12" s="1298"/>
      <c r="L12" s="1299"/>
      <c r="M12" s="57">
        <f>12+231</f>
        <v>243</v>
      </c>
    </row>
    <row r="13" spans="1:13" s="2" customFormat="1" ht="24" customHeight="1">
      <c r="A13" s="55" t="s">
        <v>28</v>
      </c>
      <c r="B13" s="52"/>
      <c r="C13" s="52"/>
      <c r="D13" s="56">
        <f t="shared" si="0"/>
        <v>50</v>
      </c>
      <c r="E13" s="1293">
        <v>15</v>
      </c>
      <c r="F13" s="1294"/>
      <c r="G13" s="1295"/>
      <c r="H13" s="1296">
        <v>3</v>
      </c>
      <c r="I13" s="1296"/>
      <c r="J13" s="1302" t="s">
        <v>39</v>
      </c>
      <c r="K13" s="1303"/>
      <c r="L13" s="1304"/>
      <c r="M13" s="57">
        <f>1+31</f>
        <v>32</v>
      </c>
    </row>
    <row r="14" spans="1:13" s="2" customFormat="1" ht="24" customHeight="1">
      <c r="A14" s="55" t="s">
        <v>29</v>
      </c>
      <c r="B14" s="52"/>
      <c r="C14" s="52"/>
      <c r="D14" s="58">
        <f t="shared" si="0"/>
        <v>39</v>
      </c>
      <c r="E14" s="1305">
        <v>11</v>
      </c>
      <c r="F14" s="1306"/>
      <c r="G14" s="1307"/>
      <c r="H14" s="1308" t="s">
        <v>39</v>
      </c>
      <c r="I14" s="1309"/>
      <c r="J14" s="1310" t="s">
        <v>39</v>
      </c>
      <c r="K14" s="1311"/>
      <c r="L14" s="1312"/>
      <c r="M14" s="57">
        <f>2+26</f>
        <v>28</v>
      </c>
    </row>
    <row r="15" spans="1:13" s="2" customFormat="1" ht="24" customHeight="1">
      <c r="A15" s="59" t="s">
        <v>30</v>
      </c>
      <c r="B15" s="60"/>
      <c r="C15" s="60"/>
      <c r="D15" s="61">
        <f t="shared" si="0"/>
        <v>1024</v>
      </c>
      <c r="E15" s="1313">
        <f>SUM(E6:G14)</f>
        <v>179</v>
      </c>
      <c r="F15" s="1314"/>
      <c r="G15" s="1315"/>
      <c r="H15" s="1296">
        <f>SUM(H6:I14)</f>
        <v>12</v>
      </c>
      <c r="I15" s="1296"/>
      <c r="J15" s="1290">
        <f>SUM(J6:L14)</f>
        <v>60</v>
      </c>
      <c r="K15" s="1291"/>
      <c r="L15" s="1292"/>
      <c r="M15" s="62">
        <f>SUM(M6:O14)</f>
        <v>773</v>
      </c>
    </row>
    <row r="16" spans="1:13" s="2" customFormat="1" ht="24" customHeight="1">
      <c r="A16" s="63" t="s">
        <v>31</v>
      </c>
      <c r="B16" s="64"/>
      <c r="C16" s="64"/>
      <c r="D16" s="56">
        <f t="shared" si="0"/>
        <v>33</v>
      </c>
      <c r="E16" s="1316">
        <v>3</v>
      </c>
      <c r="F16" s="1317"/>
      <c r="G16" s="1318"/>
      <c r="H16" s="1300" t="s">
        <v>39</v>
      </c>
      <c r="I16" s="1301"/>
      <c r="J16" s="1310" t="s">
        <v>39</v>
      </c>
      <c r="K16" s="1311"/>
      <c r="L16" s="1312"/>
      <c r="M16" s="1242">
        <f>25+5</f>
        <v>30</v>
      </c>
    </row>
    <row r="17" spans="1:13" s="2" customFormat="1" ht="24" customHeight="1">
      <c r="A17" s="63" t="s">
        <v>32</v>
      </c>
      <c r="B17" s="64"/>
      <c r="C17" s="64"/>
      <c r="D17" s="66">
        <f t="shared" si="0"/>
        <v>1057</v>
      </c>
      <c r="E17" s="1319">
        <f>SUM(E15:G16)</f>
        <v>182</v>
      </c>
      <c r="F17" s="1320"/>
      <c r="G17" s="1321"/>
      <c r="H17" s="1322">
        <f>SUM(H15:I16)</f>
        <v>12</v>
      </c>
      <c r="I17" s="1322"/>
      <c r="J17" s="1323">
        <f>SUM(J15:L16)</f>
        <v>60</v>
      </c>
      <c r="K17" s="1324"/>
      <c r="L17" s="1325"/>
      <c r="M17" s="67">
        <f>SUM(M15:M16)</f>
        <v>803</v>
      </c>
    </row>
    <row r="18" spans="1:13" s="2" customFormat="1" ht="16.5" customHeight="1">
      <c r="A18" s="52"/>
      <c r="B18" s="52"/>
      <c r="C18" s="52"/>
      <c r="D18" s="52"/>
      <c r="E18" s="68"/>
      <c r="F18" s="68"/>
      <c r="G18" s="68"/>
      <c r="H18" s="68"/>
      <c r="I18" s="68"/>
      <c r="J18" s="68"/>
      <c r="K18" s="68"/>
      <c r="L18" s="68"/>
      <c r="M18" s="68"/>
    </row>
    <row r="19" spans="1:4" s="2" customFormat="1" ht="18.75" customHeight="1">
      <c r="A19" s="18" t="s">
        <v>444</v>
      </c>
      <c r="B19" s="18"/>
      <c r="C19" s="18"/>
      <c r="D19" s="18"/>
    </row>
    <row r="20" s="2" customFormat="1" ht="13.5" customHeight="1"/>
    <row r="21" spans="1:13" s="2" customFormat="1" ht="17.25" customHeight="1">
      <c r="A21" s="1326" t="s">
        <v>33</v>
      </c>
      <c r="B21" s="1327"/>
      <c r="C21" s="1328"/>
      <c r="D21" s="1264" t="s">
        <v>17</v>
      </c>
      <c r="E21" s="1335"/>
      <c r="F21" s="1335"/>
      <c r="G21" s="1335"/>
      <c r="H21" s="1335"/>
      <c r="I21" s="1335"/>
      <c r="J21" s="1335"/>
      <c r="K21" s="1335"/>
      <c r="L21" s="1335"/>
      <c r="M21" s="1265"/>
    </row>
    <row r="22" spans="1:13" s="2" customFormat="1" ht="14.25" customHeight="1">
      <c r="A22" s="1329"/>
      <c r="B22" s="1330"/>
      <c r="C22" s="1331"/>
      <c r="D22" s="1281" t="s">
        <v>5</v>
      </c>
      <c r="E22" s="1326" t="s">
        <v>441</v>
      </c>
      <c r="F22" s="1327"/>
      <c r="G22" s="1328"/>
      <c r="H22" s="1281" t="s">
        <v>344</v>
      </c>
      <c r="I22" s="1281"/>
      <c r="J22" s="1336" t="s">
        <v>18</v>
      </c>
      <c r="K22" s="1337"/>
      <c r="L22" s="1338"/>
      <c r="M22" s="1339" t="s">
        <v>19</v>
      </c>
    </row>
    <row r="23" spans="1:13" s="2" customFormat="1" ht="13.5" customHeight="1">
      <c r="A23" s="1332"/>
      <c r="B23" s="1333"/>
      <c r="C23" s="1334"/>
      <c r="D23" s="1282"/>
      <c r="E23" s="1332"/>
      <c r="F23" s="1333"/>
      <c r="G23" s="1334"/>
      <c r="H23" s="1282"/>
      <c r="I23" s="1282"/>
      <c r="J23" s="1341" t="s">
        <v>20</v>
      </c>
      <c r="K23" s="1342"/>
      <c r="L23" s="1343"/>
      <c r="M23" s="1340"/>
    </row>
    <row r="24" spans="1:13" s="2" customFormat="1" ht="27" customHeight="1">
      <c r="A24" s="55" t="s">
        <v>34</v>
      </c>
      <c r="B24" s="52"/>
      <c r="C24" s="52"/>
      <c r="D24" s="61">
        <f aca="true" t="shared" si="1" ref="D24:D29">SUM(E24,H24,J24,M24)</f>
        <v>347</v>
      </c>
      <c r="E24" s="1344">
        <v>65</v>
      </c>
      <c r="F24" s="1345"/>
      <c r="G24" s="1346"/>
      <c r="H24" s="1347">
        <v>2</v>
      </c>
      <c r="I24" s="1345"/>
      <c r="J24" s="1347">
        <v>19</v>
      </c>
      <c r="K24" s="1345"/>
      <c r="L24" s="1348"/>
      <c r="M24" s="73">
        <f>11+250</f>
        <v>261</v>
      </c>
    </row>
    <row r="25" spans="1:13" s="2" customFormat="1" ht="27" customHeight="1">
      <c r="A25" s="55" t="s">
        <v>35</v>
      </c>
      <c r="B25" s="52"/>
      <c r="C25" s="52"/>
      <c r="D25" s="56">
        <f t="shared" si="1"/>
        <v>255</v>
      </c>
      <c r="E25" s="1347">
        <v>51</v>
      </c>
      <c r="F25" s="1345"/>
      <c r="G25" s="1348"/>
      <c r="H25" s="1347">
        <v>6</v>
      </c>
      <c r="I25" s="1345"/>
      <c r="J25" s="1347">
        <v>10</v>
      </c>
      <c r="K25" s="1345"/>
      <c r="L25" s="1348"/>
      <c r="M25" s="73">
        <f>5+183</f>
        <v>188</v>
      </c>
    </row>
    <row r="26" spans="1:13" s="2" customFormat="1" ht="27" customHeight="1">
      <c r="A26" s="55" t="s">
        <v>36</v>
      </c>
      <c r="B26" s="52"/>
      <c r="C26" s="52"/>
      <c r="D26" s="56">
        <f t="shared" si="1"/>
        <v>235</v>
      </c>
      <c r="E26" s="1347">
        <v>36</v>
      </c>
      <c r="F26" s="1345"/>
      <c r="G26" s="1348"/>
      <c r="H26" s="1347">
        <v>2</v>
      </c>
      <c r="I26" s="1345"/>
      <c r="J26" s="1347">
        <v>15</v>
      </c>
      <c r="K26" s="1345"/>
      <c r="L26" s="1348"/>
      <c r="M26" s="74">
        <f>9+173</f>
        <v>182</v>
      </c>
    </row>
    <row r="27" spans="1:13" s="2" customFormat="1" ht="27" customHeight="1">
      <c r="A27" s="55" t="s">
        <v>37</v>
      </c>
      <c r="B27" s="52"/>
      <c r="C27" s="52"/>
      <c r="D27" s="56">
        <f t="shared" si="1"/>
        <v>187</v>
      </c>
      <c r="E27" s="1349">
        <v>27</v>
      </c>
      <c r="F27" s="1350"/>
      <c r="G27" s="1351"/>
      <c r="H27" s="1347">
        <v>2</v>
      </c>
      <c r="I27" s="1345"/>
      <c r="J27" s="1347">
        <v>16</v>
      </c>
      <c r="K27" s="1345"/>
      <c r="L27" s="1348"/>
      <c r="M27" s="74">
        <f>7+135</f>
        <v>142</v>
      </c>
    </row>
    <row r="28" spans="1:13" s="2" customFormat="1" ht="27" customHeight="1">
      <c r="A28" s="55" t="s">
        <v>38</v>
      </c>
      <c r="B28" s="52"/>
      <c r="C28" s="52"/>
      <c r="D28" s="75">
        <f t="shared" si="1"/>
        <v>33</v>
      </c>
      <c r="E28" s="1352">
        <v>3</v>
      </c>
      <c r="F28" s="1345"/>
      <c r="G28" s="1353"/>
      <c r="H28" s="1354" t="s">
        <v>39</v>
      </c>
      <c r="I28" s="1355"/>
      <c r="J28" s="1356" t="s">
        <v>39</v>
      </c>
      <c r="K28" s="1357"/>
      <c r="L28" s="1358"/>
      <c r="M28" s="74">
        <f>25+5</f>
        <v>30</v>
      </c>
    </row>
    <row r="29" spans="1:13" s="2" customFormat="1" ht="27" customHeight="1">
      <c r="A29" s="76" t="s">
        <v>40</v>
      </c>
      <c r="B29" s="77"/>
      <c r="C29" s="77"/>
      <c r="D29" s="66">
        <f t="shared" si="1"/>
        <v>1057</v>
      </c>
      <c r="E29" s="1359">
        <f>SUM(E24:G28)</f>
        <v>182</v>
      </c>
      <c r="F29" s="1360"/>
      <c r="G29" s="1361"/>
      <c r="H29" s="1359">
        <f>SUM(H24:I28)</f>
        <v>12</v>
      </c>
      <c r="I29" s="1360"/>
      <c r="J29" s="1359">
        <f>SUM(J24:L28)</f>
        <v>60</v>
      </c>
      <c r="K29" s="1360"/>
      <c r="L29" s="1361"/>
      <c r="M29" s="78">
        <f>SUM(M24:O28)</f>
        <v>803</v>
      </c>
    </row>
    <row r="30" spans="5:6" ht="11.25" customHeight="1">
      <c r="E30" s="79"/>
      <c r="F30" s="79"/>
    </row>
    <row r="31" spans="1:4" ht="17.25" customHeight="1">
      <c r="A31" s="80" t="s">
        <v>443</v>
      </c>
      <c r="B31" s="80"/>
      <c r="C31" s="80"/>
      <c r="D31" s="80"/>
    </row>
    <row r="32" ht="16.5" customHeight="1">
      <c r="A32" s="81" t="s">
        <v>345</v>
      </c>
    </row>
    <row r="33" ht="18">
      <c r="A33" s="82"/>
    </row>
  </sheetData>
  <sheetProtection/>
  <mergeCells count="70">
    <mergeCell ref="E28:G28"/>
    <mergeCell ref="H28:I28"/>
    <mergeCell ref="J28:L28"/>
    <mergeCell ref="E29:G29"/>
    <mergeCell ref="H29:I29"/>
    <mergeCell ref="J29:L29"/>
    <mergeCell ref="E26:G26"/>
    <mergeCell ref="H26:I26"/>
    <mergeCell ref="J26:L26"/>
    <mergeCell ref="E27:G27"/>
    <mergeCell ref="H27:I27"/>
    <mergeCell ref="J27:L27"/>
    <mergeCell ref="E24:G24"/>
    <mergeCell ref="H24:I24"/>
    <mergeCell ref="J24:L24"/>
    <mergeCell ref="E25:G25"/>
    <mergeCell ref="H25:I25"/>
    <mergeCell ref="J25:L25"/>
    <mergeCell ref="A21:C23"/>
    <mergeCell ref="D21:M21"/>
    <mergeCell ref="D22:D23"/>
    <mergeCell ref="E22:G23"/>
    <mergeCell ref="H22:I23"/>
    <mergeCell ref="J22:L22"/>
    <mergeCell ref="M22:M23"/>
    <mergeCell ref="J23:L23"/>
    <mergeCell ref="E16:G16"/>
    <mergeCell ref="H16:I16"/>
    <mergeCell ref="J16:L16"/>
    <mergeCell ref="E17:G17"/>
    <mergeCell ref="H17:I17"/>
    <mergeCell ref="J17:L17"/>
    <mergeCell ref="E14:G14"/>
    <mergeCell ref="H14:I14"/>
    <mergeCell ref="J14:L14"/>
    <mergeCell ref="E15:G15"/>
    <mergeCell ref="H15:I15"/>
    <mergeCell ref="J15:L15"/>
    <mergeCell ref="E12:G12"/>
    <mergeCell ref="H12:I12"/>
    <mergeCell ref="J12:L12"/>
    <mergeCell ref="E13:G13"/>
    <mergeCell ref="H13:I13"/>
    <mergeCell ref="J13:L13"/>
    <mergeCell ref="E10:G10"/>
    <mergeCell ref="H10:I10"/>
    <mergeCell ref="J10:L10"/>
    <mergeCell ref="E11:G11"/>
    <mergeCell ref="H11:I11"/>
    <mergeCell ref="J11:L11"/>
    <mergeCell ref="E8:G8"/>
    <mergeCell ref="H8:I8"/>
    <mergeCell ref="J8:L8"/>
    <mergeCell ref="E9:G9"/>
    <mergeCell ref="H9:I9"/>
    <mergeCell ref="J9:L9"/>
    <mergeCell ref="E6:G6"/>
    <mergeCell ref="H6:I6"/>
    <mergeCell ref="J6:L6"/>
    <mergeCell ref="E7:G7"/>
    <mergeCell ref="H7:I7"/>
    <mergeCell ref="J7:L7"/>
    <mergeCell ref="A3:C5"/>
    <mergeCell ref="D3:M3"/>
    <mergeCell ref="D4:D5"/>
    <mergeCell ref="E4:G5"/>
    <mergeCell ref="H4:I5"/>
    <mergeCell ref="J4:L4"/>
    <mergeCell ref="M4:M5"/>
    <mergeCell ref="J5:L5"/>
  </mergeCells>
  <printOptions/>
  <pageMargins left="0.88" right="0.3" top="1" bottom="0.5" header="0.5" footer="0.5"/>
  <pageSetup horizontalDpi="300" verticalDpi="300" orientation="portrait" paperSize="9" r:id="rId2"/>
  <headerFooter alignWithMargins="0">
    <oddHeader>&amp;C- 9 -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33.00390625" style="53" customWidth="1"/>
    <col min="2" max="7" width="9.57421875" style="53" customWidth="1"/>
    <col min="8" max="8" width="4.00390625" style="53" customWidth="1"/>
    <col min="9" max="16384" width="9.140625" style="53" customWidth="1"/>
  </cols>
  <sheetData>
    <row r="1" ht="24.75" customHeight="1">
      <c r="A1" s="2" t="s">
        <v>442</v>
      </c>
    </row>
    <row r="2" ht="16.5" customHeight="1"/>
    <row r="3" spans="1:7" ht="18" customHeight="1">
      <c r="A3" s="1339" t="s">
        <v>16</v>
      </c>
      <c r="B3" s="83" t="s">
        <v>41</v>
      </c>
      <c r="C3" s="83"/>
      <c r="D3" s="83"/>
      <c r="E3" s="84" t="s">
        <v>42</v>
      </c>
      <c r="F3" s="83"/>
      <c r="G3" s="85"/>
    </row>
    <row r="4" spans="1:7" ht="30" customHeight="1">
      <c r="A4" s="1340"/>
      <c r="B4" s="71" t="s">
        <v>43</v>
      </c>
      <c r="C4" s="71" t="s">
        <v>44</v>
      </c>
      <c r="D4" s="70" t="s">
        <v>5</v>
      </c>
      <c r="E4" s="72" t="s">
        <v>45</v>
      </c>
      <c r="F4" s="86" t="s">
        <v>46</v>
      </c>
      <c r="G4" s="71" t="s">
        <v>5</v>
      </c>
    </row>
    <row r="5" spans="1:7" s="2" customFormat="1" ht="24" customHeight="1">
      <c r="A5" s="87" t="s">
        <v>21</v>
      </c>
      <c r="B5" s="88">
        <v>2580</v>
      </c>
      <c r="C5" s="88">
        <v>2526</v>
      </c>
      <c r="D5" s="89">
        <f>B5+C5</f>
        <v>5106</v>
      </c>
      <c r="E5" s="90">
        <v>336</v>
      </c>
      <c r="F5" s="90">
        <v>155</v>
      </c>
      <c r="G5" s="88">
        <f>E5+F5</f>
        <v>491</v>
      </c>
    </row>
    <row r="6" spans="1:7" s="2" customFormat="1" ht="24" customHeight="1">
      <c r="A6" s="87" t="s">
        <v>22</v>
      </c>
      <c r="B6" s="88">
        <v>1886</v>
      </c>
      <c r="C6" s="88">
        <v>1856</v>
      </c>
      <c r="D6" s="89">
        <f aca="true" t="shared" si="0" ref="D6:D13">B6+C6</f>
        <v>3742</v>
      </c>
      <c r="E6" s="90">
        <v>244</v>
      </c>
      <c r="F6" s="90">
        <v>108</v>
      </c>
      <c r="G6" s="88">
        <f aca="true" t="shared" si="1" ref="G6:G16">E6+F6</f>
        <v>352</v>
      </c>
    </row>
    <row r="7" spans="1:7" s="2" customFormat="1" ht="24" customHeight="1">
      <c r="A7" s="87" t="s">
        <v>47</v>
      </c>
      <c r="B7" s="91">
        <v>1626</v>
      </c>
      <c r="C7" s="91">
        <v>1499</v>
      </c>
      <c r="D7" s="92">
        <f t="shared" si="0"/>
        <v>3125</v>
      </c>
      <c r="E7" s="57">
        <v>218</v>
      </c>
      <c r="F7" s="57">
        <v>82</v>
      </c>
      <c r="G7" s="91">
        <f t="shared" si="1"/>
        <v>300</v>
      </c>
    </row>
    <row r="8" spans="1:7" s="2" customFormat="1" ht="24" customHeight="1">
      <c r="A8" s="87" t="s">
        <v>24</v>
      </c>
      <c r="B8" s="88">
        <v>2181</v>
      </c>
      <c r="C8" s="88">
        <v>2082</v>
      </c>
      <c r="D8" s="89">
        <f t="shared" si="0"/>
        <v>4263</v>
      </c>
      <c r="E8" s="90">
        <v>279</v>
      </c>
      <c r="F8" s="90">
        <v>92</v>
      </c>
      <c r="G8" s="88">
        <f t="shared" si="1"/>
        <v>371</v>
      </c>
    </row>
    <row r="9" spans="1:7" s="2" customFormat="1" ht="24" customHeight="1">
      <c r="A9" s="87" t="s">
        <v>25</v>
      </c>
      <c r="B9" s="88">
        <v>1519</v>
      </c>
      <c r="C9" s="88">
        <v>1507</v>
      </c>
      <c r="D9" s="89">
        <f t="shared" si="0"/>
        <v>3026</v>
      </c>
      <c r="E9" s="90">
        <v>211</v>
      </c>
      <c r="F9" s="90">
        <v>61</v>
      </c>
      <c r="G9" s="88">
        <f t="shared" si="1"/>
        <v>272</v>
      </c>
    </row>
    <row r="10" spans="1:7" s="2" customFormat="1" ht="24" customHeight="1">
      <c r="A10" s="87" t="s">
        <v>26</v>
      </c>
      <c r="B10" s="88">
        <v>1023</v>
      </c>
      <c r="C10" s="88">
        <v>1018</v>
      </c>
      <c r="D10" s="89">
        <f t="shared" si="0"/>
        <v>2041</v>
      </c>
      <c r="E10" s="90">
        <v>128</v>
      </c>
      <c r="F10" s="90">
        <v>33</v>
      </c>
      <c r="G10" s="88">
        <f t="shared" si="1"/>
        <v>161</v>
      </c>
    </row>
    <row r="11" spans="1:7" s="2" customFormat="1" ht="24" customHeight="1">
      <c r="A11" s="87" t="s">
        <v>27</v>
      </c>
      <c r="B11" s="88">
        <v>4840</v>
      </c>
      <c r="C11" s="88">
        <v>4876</v>
      </c>
      <c r="D11" s="89">
        <f t="shared" si="0"/>
        <v>9716</v>
      </c>
      <c r="E11" s="90">
        <v>786</v>
      </c>
      <c r="F11" s="90">
        <v>306</v>
      </c>
      <c r="G11" s="88">
        <f t="shared" si="1"/>
        <v>1092</v>
      </c>
    </row>
    <row r="12" spans="1:7" s="2" customFormat="1" ht="24" customHeight="1">
      <c r="A12" s="87" t="s">
        <v>28</v>
      </c>
      <c r="B12" s="91">
        <v>836</v>
      </c>
      <c r="C12" s="91">
        <v>842</v>
      </c>
      <c r="D12" s="92">
        <f t="shared" si="0"/>
        <v>1678</v>
      </c>
      <c r="E12" s="57">
        <v>110</v>
      </c>
      <c r="F12" s="57">
        <v>46</v>
      </c>
      <c r="G12" s="91">
        <f t="shared" si="1"/>
        <v>156</v>
      </c>
    </row>
    <row r="13" spans="1:7" s="2" customFormat="1" ht="24" customHeight="1">
      <c r="A13" s="87" t="s">
        <v>29</v>
      </c>
      <c r="B13" s="91">
        <v>762</v>
      </c>
      <c r="C13" s="91">
        <v>829</v>
      </c>
      <c r="D13" s="92">
        <f t="shared" si="0"/>
        <v>1591</v>
      </c>
      <c r="E13" s="57">
        <v>131</v>
      </c>
      <c r="F13" s="57">
        <v>42</v>
      </c>
      <c r="G13" s="65">
        <f t="shared" si="1"/>
        <v>173</v>
      </c>
    </row>
    <row r="14" spans="1:7" s="2" customFormat="1" ht="24" customHeight="1">
      <c r="A14" s="93" t="s">
        <v>48</v>
      </c>
      <c r="B14" s="94">
        <f>SUM(B5:B13)</f>
        <v>17253</v>
      </c>
      <c r="C14" s="94">
        <f>SUM(C5:C13)</f>
        <v>17035</v>
      </c>
      <c r="D14" s="95">
        <f>SUM(D5:D13)</f>
        <v>34288</v>
      </c>
      <c r="E14" s="62">
        <f>SUM(E5:E13)</f>
        <v>2443</v>
      </c>
      <c r="F14" s="94">
        <f>SUM(F5:F13)</f>
        <v>925</v>
      </c>
      <c r="G14" s="91">
        <f t="shared" si="1"/>
        <v>3368</v>
      </c>
    </row>
    <row r="15" spans="1:7" s="2" customFormat="1" ht="24" customHeight="1">
      <c r="A15" s="87" t="s">
        <v>49</v>
      </c>
      <c r="B15" s="88">
        <v>844</v>
      </c>
      <c r="C15" s="88">
        <v>842</v>
      </c>
      <c r="D15" s="89">
        <f>B15+C15</f>
        <v>1686</v>
      </c>
      <c r="E15" s="90">
        <v>75</v>
      </c>
      <c r="F15" s="91">
        <v>8</v>
      </c>
      <c r="G15" s="91">
        <f t="shared" si="1"/>
        <v>83</v>
      </c>
    </row>
    <row r="16" spans="1:7" s="2" customFormat="1" ht="24" customHeight="1">
      <c r="A16" s="96" t="s">
        <v>50</v>
      </c>
      <c r="B16" s="97">
        <f>SUM(B14:B15)</f>
        <v>18097</v>
      </c>
      <c r="C16" s="97">
        <f>SUM(C14:C15)</f>
        <v>17877</v>
      </c>
      <c r="D16" s="98">
        <f>SUM(D14:D15)</f>
        <v>35974</v>
      </c>
      <c r="E16" s="67">
        <f>SUM(E14:E15)</f>
        <v>2518</v>
      </c>
      <c r="F16" s="98">
        <f>SUM(F14:F15)</f>
        <v>933</v>
      </c>
      <c r="G16" s="67">
        <f t="shared" si="1"/>
        <v>3451</v>
      </c>
    </row>
    <row r="17" s="2" customFormat="1" ht="14.25" customHeight="1"/>
    <row r="18" s="2" customFormat="1" ht="19.5" customHeight="1">
      <c r="A18" s="2" t="s">
        <v>445</v>
      </c>
    </row>
    <row r="19" s="2" customFormat="1" ht="15.75" customHeight="1"/>
    <row r="20" spans="1:7" s="2" customFormat="1" ht="18" customHeight="1">
      <c r="A20" s="1339" t="s">
        <v>33</v>
      </c>
      <c r="B20" s="83" t="s">
        <v>41</v>
      </c>
      <c r="C20" s="83"/>
      <c r="D20" s="83"/>
      <c r="E20" s="84" t="s">
        <v>42</v>
      </c>
      <c r="F20" s="83"/>
      <c r="G20" s="85"/>
    </row>
    <row r="21" spans="1:7" s="2" customFormat="1" ht="27.75" customHeight="1">
      <c r="A21" s="1362"/>
      <c r="B21" s="71" t="s">
        <v>43</v>
      </c>
      <c r="C21" s="71" t="s">
        <v>44</v>
      </c>
      <c r="D21" s="70" t="s">
        <v>5</v>
      </c>
      <c r="E21" s="72" t="s">
        <v>45</v>
      </c>
      <c r="F21" s="86" t="s">
        <v>46</v>
      </c>
      <c r="G21" s="71" t="s">
        <v>5</v>
      </c>
    </row>
    <row r="22" spans="1:7" s="2" customFormat="1" ht="29.25" customHeight="1">
      <c r="A22" s="87" t="s">
        <v>34</v>
      </c>
      <c r="B22" s="88">
        <v>6114</v>
      </c>
      <c r="C22" s="88">
        <v>5893</v>
      </c>
      <c r="D22" s="89">
        <f>B22+C22</f>
        <v>12007</v>
      </c>
      <c r="E22" s="90">
        <v>801</v>
      </c>
      <c r="F22" s="90">
        <v>346</v>
      </c>
      <c r="G22" s="88">
        <f aca="true" t="shared" si="2" ref="G22:G27">E22+F22</f>
        <v>1147</v>
      </c>
    </row>
    <row r="23" spans="1:7" s="2" customFormat="1" ht="29.25" customHeight="1">
      <c r="A23" s="87" t="s">
        <v>35</v>
      </c>
      <c r="B23" s="88">
        <v>4317</v>
      </c>
      <c r="C23" s="88">
        <v>4273</v>
      </c>
      <c r="D23" s="89">
        <f>B23+C23</f>
        <v>8590</v>
      </c>
      <c r="E23" s="90">
        <v>613</v>
      </c>
      <c r="F23" s="90">
        <v>230</v>
      </c>
      <c r="G23" s="88">
        <f t="shared" si="2"/>
        <v>843</v>
      </c>
    </row>
    <row r="24" spans="1:7" s="2" customFormat="1" ht="29.25" customHeight="1">
      <c r="A24" s="87" t="s">
        <v>36</v>
      </c>
      <c r="B24" s="91">
        <v>3635</v>
      </c>
      <c r="C24" s="91">
        <v>3628</v>
      </c>
      <c r="D24" s="92">
        <f>B24+C24</f>
        <v>7263</v>
      </c>
      <c r="E24" s="57">
        <v>510</v>
      </c>
      <c r="F24" s="57">
        <v>147</v>
      </c>
      <c r="G24" s="91">
        <f t="shared" si="2"/>
        <v>657</v>
      </c>
    </row>
    <row r="25" spans="1:7" s="2" customFormat="1" ht="29.25" customHeight="1">
      <c r="A25" s="99" t="s">
        <v>51</v>
      </c>
      <c r="B25" s="91">
        <v>3187</v>
      </c>
      <c r="C25" s="91">
        <v>3241</v>
      </c>
      <c r="D25" s="92">
        <f>B25+C25</f>
        <v>6428</v>
      </c>
      <c r="E25" s="57">
        <v>519</v>
      </c>
      <c r="F25" s="57">
        <v>202</v>
      </c>
      <c r="G25" s="91">
        <f t="shared" si="2"/>
        <v>721</v>
      </c>
    </row>
    <row r="26" spans="1:7" s="2" customFormat="1" ht="29.25" customHeight="1">
      <c r="A26" s="87" t="s">
        <v>38</v>
      </c>
      <c r="B26" s="91">
        <v>844</v>
      </c>
      <c r="C26" s="91">
        <v>842</v>
      </c>
      <c r="D26" s="92">
        <f>B26+C26</f>
        <v>1686</v>
      </c>
      <c r="E26" s="57">
        <v>75</v>
      </c>
      <c r="F26" s="57">
        <v>8</v>
      </c>
      <c r="G26" s="91">
        <f t="shared" si="2"/>
        <v>83</v>
      </c>
    </row>
    <row r="27" spans="1:7" s="2" customFormat="1" ht="29.25" customHeight="1">
      <c r="A27" s="96" t="s">
        <v>52</v>
      </c>
      <c r="B27" s="97">
        <f>SUM(B22:B26)</f>
        <v>18097</v>
      </c>
      <c r="C27" s="97">
        <f>SUM(C22:C26)</f>
        <v>17877</v>
      </c>
      <c r="D27" s="97">
        <f>SUM(D22:D26)</f>
        <v>35974</v>
      </c>
      <c r="E27" s="97">
        <f>SUM(E22:E26)</f>
        <v>2518</v>
      </c>
      <c r="F27" s="98">
        <f>SUM(F22:F26)</f>
        <v>933</v>
      </c>
      <c r="G27" s="67">
        <f t="shared" si="2"/>
        <v>3451</v>
      </c>
    </row>
    <row r="28" ht="15.75">
      <c r="A28" s="81"/>
    </row>
  </sheetData>
  <sheetProtection/>
  <mergeCells count="2">
    <mergeCell ref="A3:A4"/>
    <mergeCell ref="A20:A21"/>
  </mergeCells>
  <printOptions/>
  <pageMargins left="0.88" right="0.27" top="1" bottom="0.75" header="0.5" footer="0.5"/>
  <pageSetup horizontalDpi="300" verticalDpi="300" orientation="portrait" paperSize="9" r:id="rId1"/>
  <headerFooter alignWithMargins="0">
    <oddHeader>&amp;C- 10 -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8" sqref="B18"/>
    </sheetView>
  </sheetViews>
  <sheetFormatPr defaultColWidth="9.140625" defaultRowHeight="12.75"/>
  <cols>
    <col min="1" max="1" width="33.57421875" style="101" customWidth="1"/>
    <col min="2" max="8" width="8.00390625" style="101" customWidth="1"/>
    <col min="9" max="9" width="10.8515625" style="101" customWidth="1"/>
    <col min="10" max="10" width="4.8515625" style="101" customWidth="1"/>
    <col min="11" max="16384" width="9.140625" style="101" customWidth="1"/>
  </cols>
  <sheetData>
    <row r="1" spans="1:7" ht="25.5" customHeight="1">
      <c r="A1" s="100" t="s">
        <v>406</v>
      </c>
      <c r="B1" s="100"/>
      <c r="C1" s="100"/>
      <c r="D1" s="100"/>
      <c r="E1" s="100"/>
      <c r="F1" s="100"/>
      <c r="G1" s="100"/>
    </row>
    <row r="2" ht="16.5" customHeight="1"/>
    <row r="3" spans="1:8" s="105" customFormat="1" ht="18" customHeight="1">
      <c r="A3" s="1363" t="s">
        <v>16</v>
      </c>
      <c r="B3" s="1366" t="s">
        <v>5</v>
      </c>
      <c r="C3" s="102" t="s">
        <v>53</v>
      </c>
      <c r="D3" s="103"/>
      <c r="E3" s="103"/>
      <c r="F3" s="103"/>
      <c r="G3" s="103"/>
      <c r="H3" s="104"/>
    </row>
    <row r="4" spans="1:8" s="105" customFormat="1" ht="18" customHeight="1">
      <c r="A4" s="1364"/>
      <c r="B4" s="1367"/>
      <c r="C4" s="1363" t="s">
        <v>54</v>
      </c>
      <c r="D4" s="1369"/>
      <c r="E4" s="106" t="s">
        <v>55</v>
      </c>
      <c r="F4" s="103"/>
      <c r="G4" s="103"/>
      <c r="H4" s="104"/>
    </row>
    <row r="5" spans="1:8" s="105" customFormat="1" ht="18" customHeight="1">
      <c r="A5" s="1364"/>
      <c r="B5" s="1367"/>
      <c r="C5" s="1365"/>
      <c r="D5" s="1370"/>
      <c r="E5" s="108" t="s">
        <v>56</v>
      </c>
      <c r="F5" s="109"/>
      <c r="G5" s="108" t="s">
        <v>57</v>
      </c>
      <c r="H5" s="109"/>
    </row>
    <row r="6" spans="1:8" s="105" customFormat="1" ht="18" customHeight="1">
      <c r="A6" s="1365"/>
      <c r="B6" s="1368"/>
      <c r="C6" s="110" t="s">
        <v>58</v>
      </c>
      <c r="D6" s="107" t="s">
        <v>7</v>
      </c>
      <c r="E6" s="111" t="s">
        <v>58</v>
      </c>
      <c r="F6" s="112" t="s">
        <v>7</v>
      </c>
      <c r="G6" s="113" t="s">
        <v>58</v>
      </c>
      <c r="H6" s="107" t="s">
        <v>7</v>
      </c>
    </row>
    <row r="7" spans="1:9" s="105" customFormat="1" ht="29.25" customHeight="1">
      <c r="A7" s="114" t="s">
        <v>59</v>
      </c>
      <c r="B7" s="115">
        <f>SUM(C7,E7,G7)</f>
        <v>35</v>
      </c>
      <c r="C7" s="116">
        <v>25</v>
      </c>
      <c r="D7" s="1004">
        <f aca="true" t="shared" si="0" ref="D7:D18">(C7/B7)*100</f>
        <v>71.42857142857143</v>
      </c>
      <c r="E7" s="117">
        <v>8</v>
      </c>
      <c r="F7" s="1004">
        <f>(E7/B7)*100</f>
        <v>22.857142857142858</v>
      </c>
      <c r="G7" s="118">
        <v>2</v>
      </c>
      <c r="H7" s="1008">
        <f>(G7/B7)*100</f>
        <v>5.714285714285714</v>
      </c>
      <c r="I7" s="119"/>
    </row>
    <row r="8" spans="1:9" s="105" customFormat="1" ht="29.25" customHeight="1">
      <c r="A8" s="114" t="s">
        <v>60</v>
      </c>
      <c r="B8" s="115">
        <f aca="true" t="shared" si="1" ref="B8:B18">SUM(C8,E8,G8)</f>
        <v>28</v>
      </c>
      <c r="C8" s="116">
        <v>23</v>
      </c>
      <c r="D8" s="1004">
        <f t="shared" si="0"/>
        <v>82.14285714285714</v>
      </c>
      <c r="E8" s="120" t="s">
        <v>39</v>
      </c>
      <c r="F8" s="121" t="s">
        <v>61</v>
      </c>
      <c r="G8" s="118">
        <v>5</v>
      </c>
      <c r="H8" s="1008">
        <f aca="true" t="shared" si="2" ref="H8:H18">(G8/B8)*100</f>
        <v>17.857142857142858</v>
      </c>
      <c r="I8" s="119"/>
    </row>
    <row r="9" spans="1:9" s="105" customFormat="1" ht="29.25" customHeight="1">
      <c r="A9" s="114" t="s">
        <v>62</v>
      </c>
      <c r="B9" s="115">
        <f t="shared" si="1"/>
        <v>27</v>
      </c>
      <c r="C9" s="116">
        <v>22</v>
      </c>
      <c r="D9" s="1004">
        <v>82</v>
      </c>
      <c r="E9" s="117">
        <v>3</v>
      </c>
      <c r="F9" s="1004">
        <f aca="true" t="shared" si="3" ref="F9:F17">(E9/B9)*100</f>
        <v>11.11111111111111</v>
      </c>
      <c r="G9" s="118">
        <v>2</v>
      </c>
      <c r="H9" s="1008">
        <f t="shared" si="2"/>
        <v>7.4074074074074066</v>
      </c>
      <c r="I9" s="119"/>
    </row>
    <row r="10" spans="1:9" s="105" customFormat="1" ht="29.25" customHeight="1">
      <c r="A10" s="114" t="s">
        <v>63</v>
      </c>
      <c r="B10" s="115">
        <f t="shared" si="1"/>
        <v>37</v>
      </c>
      <c r="C10" s="116">
        <v>27</v>
      </c>
      <c r="D10" s="1004">
        <f t="shared" si="0"/>
        <v>72.97297297297297</v>
      </c>
      <c r="E10" s="117">
        <v>9</v>
      </c>
      <c r="F10" s="1004">
        <f t="shared" si="3"/>
        <v>24.324324324324326</v>
      </c>
      <c r="G10" s="118">
        <v>1</v>
      </c>
      <c r="H10" s="1008">
        <f>(G10/B10)*100</f>
        <v>2.7027027027027026</v>
      </c>
      <c r="I10" s="119"/>
    </row>
    <row r="11" spans="1:9" s="105" customFormat="1" ht="29.25" customHeight="1">
      <c r="A11" s="114" t="s">
        <v>64</v>
      </c>
      <c r="B11" s="115">
        <f t="shared" si="1"/>
        <v>30</v>
      </c>
      <c r="C11" s="116">
        <v>25</v>
      </c>
      <c r="D11" s="1004">
        <f t="shared" si="0"/>
        <v>83.33333333333334</v>
      </c>
      <c r="E11" s="117">
        <v>5</v>
      </c>
      <c r="F11" s="1004">
        <f t="shared" si="3"/>
        <v>16.666666666666664</v>
      </c>
      <c r="G11" s="120" t="s">
        <v>61</v>
      </c>
      <c r="H11" s="121" t="s">
        <v>61</v>
      </c>
      <c r="I11" s="119"/>
    </row>
    <row r="12" spans="1:9" s="105" customFormat="1" ht="29.25" customHeight="1">
      <c r="A12" s="114" t="s">
        <v>65</v>
      </c>
      <c r="B12" s="115">
        <f t="shared" si="1"/>
        <v>17</v>
      </c>
      <c r="C12" s="116">
        <v>14</v>
      </c>
      <c r="D12" s="1004">
        <v>82.3</v>
      </c>
      <c r="E12" s="117">
        <v>3</v>
      </c>
      <c r="F12" s="1004">
        <v>17.7</v>
      </c>
      <c r="G12" s="120" t="s">
        <v>61</v>
      </c>
      <c r="H12" s="121" t="s">
        <v>61</v>
      </c>
      <c r="I12" s="119"/>
    </row>
    <row r="13" spans="1:9" s="105" customFormat="1" ht="29.25" customHeight="1">
      <c r="A13" s="114" t="s">
        <v>66</v>
      </c>
      <c r="B13" s="115">
        <f t="shared" si="1"/>
        <v>73</v>
      </c>
      <c r="C13" s="116">
        <v>44</v>
      </c>
      <c r="D13" s="1004">
        <f t="shared" si="0"/>
        <v>60.273972602739725</v>
      </c>
      <c r="E13" s="117">
        <v>13</v>
      </c>
      <c r="F13" s="1004">
        <f t="shared" si="3"/>
        <v>17.80821917808219</v>
      </c>
      <c r="G13" s="118">
        <v>16</v>
      </c>
      <c r="H13" s="1008">
        <v>22</v>
      </c>
      <c r="I13" s="119"/>
    </row>
    <row r="14" spans="1:9" s="105" customFormat="1" ht="29.25" customHeight="1">
      <c r="A14" s="114" t="s">
        <v>67</v>
      </c>
      <c r="B14" s="115">
        <f t="shared" si="1"/>
        <v>26</v>
      </c>
      <c r="C14" s="116">
        <v>20</v>
      </c>
      <c r="D14" s="1004">
        <f t="shared" si="0"/>
        <v>76.92307692307693</v>
      </c>
      <c r="E14" s="117">
        <v>4</v>
      </c>
      <c r="F14" s="1004">
        <f t="shared" si="3"/>
        <v>15.384615384615385</v>
      </c>
      <c r="G14" s="118">
        <v>2</v>
      </c>
      <c r="H14" s="1008">
        <f t="shared" si="2"/>
        <v>7.6923076923076925</v>
      </c>
      <c r="I14" s="119"/>
    </row>
    <row r="15" spans="1:9" s="105" customFormat="1" ht="29.25" customHeight="1">
      <c r="A15" s="114" t="s">
        <v>68</v>
      </c>
      <c r="B15" s="122">
        <f t="shared" si="1"/>
        <v>16</v>
      </c>
      <c r="C15" s="123">
        <v>12</v>
      </c>
      <c r="D15" s="1005">
        <f t="shared" si="0"/>
        <v>75</v>
      </c>
      <c r="E15" s="124">
        <v>3</v>
      </c>
      <c r="F15" s="1005">
        <f t="shared" si="3"/>
        <v>18.75</v>
      </c>
      <c r="G15" s="990">
        <v>1</v>
      </c>
      <c r="H15" s="1009">
        <f t="shared" si="2"/>
        <v>6.25</v>
      </c>
      <c r="I15" s="119"/>
    </row>
    <row r="16" spans="1:9" s="105" customFormat="1" ht="29.25" customHeight="1">
      <c r="A16" s="127" t="s">
        <v>69</v>
      </c>
      <c r="B16" s="115">
        <f t="shared" si="1"/>
        <v>289</v>
      </c>
      <c r="C16" s="116">
        <f>SUM(C7:C15)</f>
        <v>212</v>
      </c>
      <c r="D16" s="1006">
        <f t="shared" si="0"/>
        <v>73.35640138408304</v>
      </c>
      <c r="E16" s="117">
        <f>SUM(E7:E15)</f>
        <v>48</v>
      </c>
      <c r="F16" s="1004">
        <f t="shared" si="3"/>
        <v>16.608996539792386</v>
      </c>
      <c r="G16" s="117">
        <f>SUM(G7:G15)</f>
        <v>29</v>
      </c>
      <c r="H16" s="1010">
        <f t="shared" si="2"/>
        <v>10.034602076124568</v>
      </c>
      <c r="I16" s="119"/>
    </row>
    <row r="17" spans="1:9" s="105" customFormat="1" ht="29.25" customHeight="1">
      <c r="A17" s="128" t="s">
        <v>70</v>
      </c>
      <c r="B17" s="115">
        <f t="shared" si="1"/>
        <v>13</v>
      </c>
      <c r="C17" s="116">
        <v>8</v>
      </c>
      <c r="D17" s="1005">
        <f t="shared" si="0"/>
        <v>61.53846153846154</v>
      </c>
      <c r="E17" s="117">
        <v>5</v>
      </c>
      <c r="F17" s="1004">
        <f t="shared" si="3"/>
        <v>38.46153846153847</v>
      </c>
      <c r="G17" s="120" t="s">
        <v>61</v>
      </c>
      <c r="H17" s="126" t="s">
        <v>61</v>
      </c>
      <c r="I17" s="119"/>
    </row>
    <row r="18" spans="1:9" s="105" customFormat="1" ht="29.25" customHeight="1">
      <c r="A18" s="128" t="s">
        <v>71</v>
      </c>
      <c r="B18" s="129">
        <f t="shared" si="1"/>
        <v>302</v>
      </c>
      <c r="C18" s="130">
        <f>SUM(C16+C17)</f>
        <v>220</v>
      </c>
      <c r="D18" s="1007">
        <f t="shared" si="0"/>
        <v>72.84768211920529</v>
      </c>
      <c r="E18" s="131">
        <f>SUM(E16+E17)</f>
        <v>53</v>
      </c>
      <c r="F18" s="1007">
        <v>17</v>
      </c>
      <c r="G18" s="131">
        <f>SUM(G16:G17)</f>
        <v>29</v>
      </c>
      <c r="H18" s="1011">
        <f t="shared" si="2"/>
        <v>9.602649006622517</v>
      </c>
      <c r="I18" s="119"/>
    </row>
    <row r="19" ht="21.75" customHeight="1"/>
    <row r="20" ht="15" customHeight="1">
      <c r="A20" s="100" t="s">
        <v>412</v>
      </c>
    </row>
    <row r="21" ht="16.5" customHeight="1"/>
    <row r="22" spans="1:8" s="105" customFormat="1" ht="18" customHeight="1">
      <c r="A22" s="1366" t="s">
        <v>33</v>
      </c>
      <c r="B22" s="1366" t="s">
        <v>5</v>
      </c>
      <c r="C22" s="102" t="s">
        <v>53</v>
      </c>
      <c r="D22" s="103"/>
      <c r="E22" s="103"/>
      <c r="F22" s="103"/>
      <c r="G22" s="103"/>
      <c r="H22" s="104"/>
    </row>
    <row r="23" spans="1:8" s="105" customFormat="1" ht="16.5" customHeight="1">
      <c r="A23" s="1371"/>
      <c r="B23" s="1367"/>
      <c r="C23" s="1363" t="s">
        <v>54</v>
      </c>
      <c r="D23" s="1369"/>
      <c r="E23" s="106" t="s">
        <v>55</v>
      </c>
      <c r="F23" s="103"/>
      <c r="G23" s="103"/>
      <c r="H23" s="104"/>
    </row>
    <row r="24" spans="1:8" s="105" customFormat="1" ht="16.5" customHeight="1">
      <c r="A24" s="1371"/>
      <c r="B24" s="1367"/>
      <c r="C24" s="1365"/>
      <c r="D24" s="1370"/>
      <c r="E24" s="108" t="s">
        <v>56</v>
      </c>
      <c r="F24" s="109"/>
      <c r="G24" s="108" t="s">
        <v>57</v>
      </c>
      <c r="H24" s="109"/>
    </row>
    <row r="25" spans="1:8" s="105" customFormat="1" ht="16.5" customHeight="1">
      <c r="A25" s="1372"/>
      <c r="B25" s="1368"/>
      <c r="C25" s="110" t="s">
        <v>58</v>
      </c>
      <c r="D25" s="107" t="s">
        <v>7</v>
      </c>
      <c r="E25" s="111" t="s">
        <v>58</v>
      </c>
      <c r="F25" s="112" t="s">
        <v>7</v>
      </c>
      <c r="G25" s="132" t="s">
        <v>58</v>
      </c>
      <c r="H25" s="107" t="s">
        <v>7</v>
      </c>
    </row>
    <row r="26" spans="1:9" s="105" customFormat="1" ht="30" customHeight="1">
      <c r="A26" s="114" t="s">
        <v>72</v>
      </c>
      <c r="B26" s="115">
        <f aca="true" t="shared" si="4" ref="B26:B31">SUM(C26,E26,G26)</f>
        <v>92</v>
      </c>
      <c r="C26" s="116">
        <v>72</v>
      </c>
      <c r="D26" s="1004">
        <v>78.2</v>
      </c>
      <c r="E26" s="117">
        <v>11</v>
      </c>
      <c r="F26" s="1004">
        <f>(E26/B26)*100</f>
        <v>11.956521739130435</v>
      </c>
      <c r="G26" s="133">
        <v>9</v>
      </c>
      <c r="H26" s="1008">
        <f>G26/B26*100</f>
        <v>9.782608695652174</v>
      </c>
      <c r="I26" s="119"/>
    </row>
    <row r="27" spans="1:9" s="105" customFormat="1" ht="30" customHeight="1">
      <c r="A27" s="114" t="s">
        <v>73</v>
      </c>
      <c r="B27" s="115">
        <f t="shared" si="4"/>
        <v>78</v>
      </c>
      <c r="C27" s="116">
        <v>57</v>
      </c>
      <c r="D27" s="1004">
        <f>(C27/B27)*100</f>
        <v>73.07692307692307</v>
      </c>
      <c r="E27" s="117">
        <v>17</v>
      </c>
      <c r="F27" s="1004">
        <f>(E27/B27)*100</f>
        <v>21.794871794871796</v>
      </c>
      <c r="G27" s="133">
        <v>4</v>
      </c>
      <c r="H27" s="1008">
        <f>G27/B27*100</f>
        <v>5.128205128205128</v>
      </c>
      <c r="I27" s="119"/>
    </row>
    <row r="28" spans="1:9" s="105" customFormat="1" ht="30" customHeight="1">
      <c r="A28" s="114" t="s">
        <v>74</v>
      </c>
      <c r="B28" s="115">
        <f t="shared" si="4"/>
        <v>66</v>
      </c>
      <c r="C28" s="116">
        <v>48</v>
      </c>
      <c r="D28" s="1004">
        <f>(C28/B28)*100</f>
        <v>72.72727272727273</v>
      </c>
      <c r="E28" s="117">
        <v>12</v>
      </c>
      <c r="F28" s="1004">
        <v>18.2</v>
      </c>
      <c r="G28" s="133">
        <v>6</v>
      </c>
      <c r="H28" s="1008">
        <f>G28/B28*100</f>
        <v>9.090909090909092</v>
      </c>
      <c r="I28" s="119"/>
    </row>
    <row r="29" spans="1:9" s="105" customFormat="1" ht="30" customHeight="1">
      <c r="A29" s="114" t="s">
        <v>75</v>
      </c>
      <c r="B29" s="115">
        <f t="shared" si="4"/>
        <v>53</v>
      </c>
      <c r="C29" s="116">
        <v>35</v>
      </c>
      <c r="D29" s="1004">
        <f>(C29/B29)*100</f>
        <v>66.0377358490566</v>
      </c>
      <c r="E29" s="117">
        <v>8</v>
      </c>
      <c r="F29" s="1004">
        <f>(E29/B29)*100</f>
        <v>15.09433962264151</v>
      </c>
      <c r="G29" s="133">
        <v>10</v>
      </c>
      <c r="H29" s="1008">
        <f>(G29/B29)*100</f>
        <v>18.867924528301888</v>
      </c>
      <c r="I29" s="119"/>
    </row>
    <row r="30" spans="1:9" s="105" customFormat="1" ht="30" customHeight="1">
      <c r="A30" s="114" t="s">
        <v>38</v>
      </c>
      <c r="B30" s="115">
        <f t="shared" si="4"/>
        <v>13</v>
      </c>
      <c r="C30" s="116">
        <v>8</v>
      </c>
      <c r="D30" s="1004">
        <f>(C30/B30)*100</f>
        <v>61.53846153846154</v>
      </c>
      <c r="E30" s="117">
        <v>5</v>
      </c>
      <c r="F30" s="1004">
        <f>(E30/B30)*100</f>
        <v>38.46153846153847</v>
      </c>
      <c r="G30" s="125" t="s">
        <v>61</v>
      </c>
      <c r="H30" s="126" t="s">
        <v>61</v>
      </c>
      <c r="I30" s="119"/>
    </row>
    <row r="31" spans="1:9" s="105" customFormat="1" ht="24" customHeight="1">
      <c r="A31" s="134" t="s">
        <v>76</v>
      </c>
      <c r="B31" s="129">
        <f t="shared" si="4"/>
        <v>302</v>
      </c>
      <c r="C31" s="130">
        <f>SUM(C26:C30)</f>
        <v>220</v>
      </c>
      <c r="D31" s="1007">
        <f>(C31/B31)*100</f>
        <v>72.84768211920529</v>
      </c>
      <c r="E31" s="131">
        <f>SUM(E26:E30)</f>
        <v>53</v>
      </c>
      <c r="F31" s="1007">
        <v>17</v>
      </c>
      <c r="G31" s="135">
        <f>SUM(G26:G30)</f>
        <v>29</v>
      </c>
      <c r="H31" s="1012">
        <f>G31/B31*100</f>
        <v>9.602649006622517</v>
      </c>
      <c r="I31" s="119"/>
    </row>
    <row r="32" ht="17.25" customHeight="1">
      <c r="A32" s="101" t="s">
        <v>77</v>
      </c>
    </row>
  </sheetData>
  <sheetProtection/>
  <mergeCells count="6">
    <mergeCell ref="A3:A6"/>
    <mergeCell ref="B3:B6"/>
    <mergeCell ref="C4:D5"/>
    <mergeCell ref="B22:B25"/>
    <mergeCell ref="C23:D24"/>
    <mergeCell ref="A22:A25"/>
  </mergeCells>
  <printOptions/>
  <pageMargins left="0.77" right="0.37" top="0.54" bottom="0.26" header="0.31" footer="0.25"/>
  <pageSetup horizontalDpi="600" verticalDpi="600" orientation="portrait" paperSize="9" r:id="rId1"/>
  <headerFooter alignWithMargins="0">
    <oddHeader>&amp;C&amp;"Times New Roman,Regular"- 11 -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P32"/>
  <sheetViews>
    <sheetView zoomScalePageLayoutView="0" workbookViewId="0" topLeftCell="A12">
      <selection activeCell="A27" sqref="A27"/>
    </sheetView>
  </sheetViews>
  <sheetFormatPr defaultColWidth="9.140625" defaultRowHeight="12.75"/>
  <cols>
    <col min="1" max="1" width="30.57421875" style="140" customWidth="1"/>
    <col min="2" max="2" width="9.140625" style="141" customWidth="1"/>
    <col min="3" max="3" width="8.421875" style="141" customWidth="1"/>
    <col min="4" max="4" width="8.140625" style="141" customWidth="1"/>
    <col min="5" max="5" width="8.57421875" style="141" customWidth="1"/>
    <col min="6" max="6" width="8.421875" style="141" customWidth="1"/>
    <col min="7" max="7" width="8.28125" style="141" customWidth="1"/>
    <col min="8" max="10" width="8.28125" style="141" hidden="1" customWidth="1"/>
    <col min="11" max="12" width="8.28125" style="141" customWidth="1"/>
    <col min="13" max="13" width="9.140625" style="140" customWidth="1"/>
    <col min="14" max="14" width="7.7109375" style="139" customWidth="1"/>
    <col min="15" max="15" width="7.57421875" style="139" customWidth="1"/>
    <col min="16" max="16" width="7.8515625" style="139" customWidth="1"/>
    <col min="17" max="17" width="5.7109375" style="142" customWidth="1"/>
    <col min="18" max="42" width="9.140625" style="139" customWidth="1"/>
    <col min="43" max="16384" width="9.140625" style="140" customWidth="1"/>
  </cols>
  <sheetData>
    <row r="1" spans="1:42" s="136" customFormat="1" ht="21" customHeight="1">
      <c r="A1" s="136" t="s">
        <v>407</v>
      </c>
      <c r="B1" s="137"/>
      <c r="C1" s="137"/>
      <c r="D1" s="137"/>
      <c r="E1" s="137"/>
      <c r="F1" s="137"/>
      <c r="G1" s="1177">
        <v>2009</v>
      </c>
      <c r="H1" s="1177"/>
      <c r="I1" s="1177"/>
      <c r="J1" s="1177"/>
      <c r="K1" s="137"/>
      <c r="L1" s="137"/>
      <c r="N1" s="138"/>
      <c r="O1" s="138"/>
      <c r="P1" s="138"/>
      <c r="Q1" s="139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</row>
    <row r="2" ht="7.5" customHeight="1"/>
    <row r="3" spans="1:42" s="147" customFormat="1" ht="14.25" customHeight="1">
      <c r="A3" s="1392" t="s">
        <v>16</v>
      </c>
      <c r="B3" s="1382" t="s">
        <v>78</v>
      </c>
      <c r="C3" s="1383"/>
      <c r="D3" s="1395"/>
      <c r="E3" s="1382" t="s">
        <v>79</v>
      </c>
      <c r="F3" s="1383"/>
      <c r="G3" s="1383"/>
      <c r="H3" s="1211"/>
      <c r="I3" s="1212" t="s">
        <v>413</v>
      </c>
      <c r="J3" s="1212"/>
      <c r="K3" s="1389" t="s">
        <v>80</v>
      </c>
      <c r="L3" s="1390"/>
      <c r="M3" s="1390"/>
      <c r="N3" s="1390"/>
      <c r="O3" s="1390"/>
      <c r="P3" s="1391"/>
      <c r="Q3" s="145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</row>
    <row r="4" spans="1:42" s="147" customFormat="1" ht="15" customHeight="1">
      <c r="A4" s="1393"/>
      <c r="B4" s="1384"/>
      <c r="C4" s="1385"/>
      <c r="D4" s="1396"/>
      <c r="E4" s="1384"/>
      <c r="F4" s="1385"/>
      <c r="G4" s="1385"/>
      <c r="H4" s="1213"/>
      <c r="I4" s="1214"/>
      <c r="J4" s="1214"/>
      <c r="K4" s="1389" t="s">
        <v>84</v>
      </c>
      <c r="L4" s="1390"/>
      <c r="M4" s="1391"/>
      <c r="N4" s="1389" t="s">
        <v>81</v>
      </c>
      <c r="O4" s="1390"/>
      <c r="P4" s="1391"/>
      <c r="Q4" s="145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</row>
    <row r="5" spans="1:42" s="147" customFormat="1" ht="14.25" customHeight="1">
      <c r="A5" s="1394"/>
      <c r="B5" s="143" t="s">
        <v>5</v>
      </c>
      <c r="C5" s="148" t="s">
        <v>43</v>
      </c>
      <c r="D5" s="149" t="s">
        <v>44</v>
      </c>
      <c r="E5" s="143" t="s">
        <v>5</v>
      </c>
      <c r="F5" s="148" t="s">
        <v>43</v>
      </c>
      <c r="G5" s="1216" t="s">
        <v>44</v>
      </c>
      <c r="H5" s="143" t="s">
        <v>5</v>
      </c>
      <c r="I5" s="148" t="s">
        <v>43</v>
      </c>
      <c r="J5" s="144" t="s">
        <v>44</v>
      </c>
      <c r="K5" s="143" t="s">
        <v>5</v>
      </c>
      <c r="L5" s="148" t="s">
        <v>43</v>
      </c>
      <c r="M5" s="144" t="s">
        <v>44</v>
      </c>
      <c r="N5" s="143" t="s">
        <v>5</v>
      </c>
      <c r="O5" s="148" t="s">
        <v>43</v>
      </c>
      <c r="P5" s="144" t="s">
        <v>44</v>
      </c>
      <c r="Q5" s="145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</row>
    <row r="6" spans="1:42" s="147" customFormat="1" ht="18.75" customHeight="1">
      <c r="A6" s="150" t="s">
        <v>59</v>
      </c>
      <c r="B6" s="151">
        <f aca="true" t="shared" si="0" ref="B6:B14">SUM(E6,K6,N6)</f>
        <v>16519</v>
      </c>
      <c r="C6" s="152">
        <f aca="true" t="shared" si="1" ref="C6:C14">SUM(F6,L6,O6)</f>
        <v>8331</v>
      </c>
      <c r="D6" s="153">
        <f aca="true" t="shared" si="2" ref="D6:D14">SUM(G6,M6,P6)</f>
        <v>8188</v>
      </c>
      <c r="E6" s="151">
        <f>F6+G6</f>
        <v>10548</v>
      </c>
      <c r="F6" s="154">
        <v>5332</v>
      </c>
      <c r="G6" s="153">
        <v>5216</v>
      </c>
      <c r="H6" s="151">
        <f>I6+J6</f>
        <v>5971</v>
      </c>
      <c r="I6" s="152">
        <v>2999</v>
      </c>
      <c r="J6" s="153">
        <v>2972</v>
      </c>
      <c r="K6" s="151">
        <f>L6+M6</f>
        <v>5328</v>
      </c>
      <c r="L6" s="154">
        <v>2691</v>
      </c>
      <c r="M6" s="155">
        <v>2637</v>
      </c>
      <c r="N6" s="151">
        <f>H6-K6</f>
        <v>643</v>
      </c>
      <c r="O6" s="154">
        <f>I6-L6</f>
        <v>308</v>
      </c>
      <c r="P6" s="155">
        <f>J6-M6</f>
        <v>335</v>
      </c>
      <c r="Q6" s="145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</row>
    <row r="7" spans="1:42" s="147" customFormat="1" ht="18.75" customHeight="1">
      <c r="A7" s="150" t="s">
        <v>60</v>
      </c>
      <c r="B7" s="151">
        <f t="shared" si="0"/>
        <v>10491</v>
      </c>
      <c r="C7" s="154">
        <f t="shared" si="1"/>
        <v>5390</v>
      </c>
      <c r="D7" s="153">
        <f t="shared" si="2"/>
        <v>5101</v>
      </c>
      <c r="E7" s="151">
        <f aca="true" t="shared" si="3" ref="E7:E17">F7+G7</f>
        <v>9364</v>
      </c>
      <c r="F7" s="154">
        <v>4761</v>
      </c>
      <c r="G7" s="153">
        <v>4603</v>
      </c>
      <c r="H7" s="151">
        <f aca="true" t="shared" si="4" ref="H7:H17">I7+J7</f>
        <v>1127</v>
      </c>
      <c r="I7" s="154">
        <v>629</v>
      </c>
      <c r="J7" s="153">
        <v>498</v>
      </c>
      <c r="K7" s="157" t="s">
        <v>39</v>
      </c>
      <c r="L7" s="158" t="s">
        <v>39</v>
      </c>
      <c r="M7" s="158" t="s">
        <v>39</v>
      </c>
      <c r="N7" s="151">
        <f>H7</f>
        <v>1127</v>
      </c>
      <c r="O7" s="154">
        <f>I7</f>
        <v>629</v>
      </c>
      <c r="P7" s="155">
        <f>J7</f>
        <v>498</v>
      </c>
      <c r="Q7" s="145"/>
      <c r="R7" s="146"/>
      <c r="S7" s="146"/>
      <c r="T7" s="159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</row>
    <row r="8" spans="1:42" s="147" customFormat="1" ht="18.75" customHeight="1">
      <c r="A8" s="150" t="s">
        <v>62</v>
      </c>
      <c r="B8" s="151">
        <f t="shared" si="0"/>
        <v>10341</v>
      </c>
      <c r="C8" s="154">
        <f t="shared" si="1"/>
        <v>5366</v>
      </c>
      <c r="D8" s="153">
        <f t="shared" si="2"/>
        <v>4975</v>
      </c>
      <c r="E8" s="151">
        <f t="shared" si="3"/>
        <v>8647</v>
      </c>
      <c r="F8" s="154">
        <v>4507</v>
      </c>
      <c r="G8" s="153">
        <v>4140</v>
      </c>
      <c r="H8" s="151">
        <f t="shared" si="4"/>
        <v>1694</v>
      </c>
      <c r="I8" s="154">
        <v>859</v>
      </c>
      <c r="J8" s="153">
        <v>835</v>
      </c>
      <c r="K8" s="151">
        <f aca="true" t="shared" si="5" ref="K8:K17">L8+M8</f>
        <v>992</v>
      </c>
      <c r="L8" s="154">
        <v>503</v>
      </c>
      <c r="M8" s="155">
        <v>489</v>
      </c>
      <c r="N8" s="151">
        <f aca="true" t="shared" si="6" ref="N8:N15">H8-K8</f>
        <v>702</v>
      </c>
      <c r="O8" s="154">
        <f aca="true" t="shared" si="7" ref="O8:O15">I8-L8</f>
        <v>356</v>
      </c>
      <c r="P8" s="155">
        <f aca="true" t="shared" si="8" ref="P8:P15">J8-M8</f>
        <v>346</v>
      </c>
      <c r="Q8" s="145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</row>
    <row r="9" spans="1:42" s="147" customFormat="1" ht="18.75" customHeight="1">
      <c r="A9" s="150" t="s">
        <v>63</v>
      </c>
      <c r="B9" s="151">
        <f t="shared" si="0"/>
        <v>13798</v>
      </c>
      <c r="C9" s="154">
        <f t="shared" si="1"/>
        <v>7015</v>
      </c>
      <c r="D9" s="153">
        <f t="shared" si="2"/>
        <v>6783</v>
      </c>
      <c r="E9" s="151">
        <f t="shared" si="3"/>
        <v>11746</v>
      </c>
      <c r="F9" s="154">
        <v>5965</v>
      </c>
      <c r="G9" s="153">
        <v>5781</v>
      </c>
      <c r="H9" s="151">
        <f t="shared" si="4"/>
        <v>2052</v>
      </c>
      <c r="I9" s="154">
        <v>1050</v>
      </c>
      <c r="J9" s="153">
        <v>1002</v>
      </c>
      <c r="K9" s="151">
        <f t="shared" si="5"/>
        <v>1931</v>
      </c>
      <c r="L9" s="154">
        <v>986</v>
      </c>
      <c r="M9" s="155">
        <v>945</v>
      </c>
      <c r="N9" s="151">
        <f t="shared" si="6"/>
        <v>121</v>
      </c>
      <c r="O9" s="154">
        <f t="shared" si="7"/>
        <v>64</v>
      </c>
      <c r="P9" s="155">
        <f t="shared" si="8"/>
        <v>57</v>
      </c>
      <c r="Q9" s="145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</row>
    <row r="10" spans="1:42" s="147" customFormat="1" ht="18.75" customHeight="1">
      <c r="A10" s="150" t="s">
        <v>64</v>
      </c>
      <c r="B10" s="151">
        <f t="shared" si="0"/>
        <v>10418</v>
      </c>
      <c r="C10" s="154">
        <f t="shared" si="1"/>
        <v>5261</v>
      </c>
      <c r="D10" s="153">
        <f t="shared" si="2"/>
        <v>5157</v>
      </c>
      <c r="E10" s="151">
        <f t="shared" si="3"/>
        <v>8605</v>
      </c>
      <c r="F10" s="154">
        <v>4361</v>
      </c>
      <c r="G10" s="153">
        <v>4244</v>
      </c>
      <c r="H10" s="151">
        <f t="shared" si="4"/>
        <v>1813</v>
      </c>
      <c r="I10" s="154">
        <v>900</v>
      </c>
      <c r="J10" s="153">
        <v>913</v>
      </c>
      <c r="K10" s="151">
        <f t="shared" si="5"/>
        <v>1813</v>
      </c>
      <c r="L10" s="154">
        <v>900</v>
      </c>
      <c r="M10" s="155">
        <v>913</v>
      </c>
      <c r="N10" s="1217" t="s">
        <v>39</v>
      </c>
      <c r="O10" s="158" t="s">
        <v>39</v>
      </c>
      <c r="P10" s="1218" t="s">
        <v>39</v>
      </c>
      <c r="Q10" s="145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</row>
    <row r="11" spans="1:42" s="147" customFormat="1" ht="18.75" customHeight="1">
      <c r="A11" s="150" t="s">
        <v>65</v>
      </c>
      <c r="B11" s="151">
        <f t="shared" si="0"/>
        <v>6139</v>
      </c>
      <c r="C11" s="154">
        <f t="shared" si="1"/>
        <v>3208</v>
      </c>
      <c r="D11" s="153">
        <f t="shared" si="2"/>
        <v>2931</v>
      </c>
      <c r="E11" s="151">
        <f t="shared" si="3"/>
        <v>5393</v>
      </c>
      <c r="F11" s="154">
        <v>2826</v>
      </c>
      <c r="G11" s="153">
        <v>2567</v>
      </c>
      <c r="H11" s="151">
        <f t="shared" si="4"/>
        <v>746</v>
      </c>
      <c r="I11" s="154">
        <v>382</v>
      </c>
      <c r="J11" s="153">
        <v>364</v>
      </c>
      <c r="K11" s="151">
        <f t="shared" si="5"/>
        <v>746</v>
      </c>
      <c r="L11" s="154">
        <v>382</v>
      </c>
      <c r="M11" s="155">
        <v>364</v>
      </c>
      <c r="N11" s="1217" t="s">
        <v>39</v>
      </c>
      <c r="O11" s="158" t="s">
        <v>39</v>
      </c>
      <c r="P11" s="1218" t="s">
        <v>39</v>
      </c>
      <c r="Q11" s="145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</row>
    <row r="12" spans="1:42" s="147" customFormat="1" ht="18.75" customHeight="1">
      <c r="A12" s="150" t="s">
        <v>66</v>
      </c>
      <c r="B12" s="151">
        <f t="shared" si="0"/>
        <v>33032</v>
      </c>
      <c r="C12" s="154">
        <f t="shared" si="1"/>
        <v>16673</v>
      </c>
      <c r="D12" s="153">
        <f t="shared" si="2"/>
        <v>16359</v>
      </c>
      <c r="E12" s="151">
        <f t="shared" si="3"/>
        <v>19379</v>
      </c>
      <c r="F12" s="154">
        <v>9798</v>
      </c>
      <c r="G12" s="153">
        <v>9581</v>
      </c>
      <c r="H12" s="151">
        <f t="shared" si="4"/>
        <v>13653</v>
      </c>
      <c r="I12" s="154">
        <v>6875</v>
      </c>
      <c r="J12" s="153">
        <v>6778</v>
      </c>
      <c r="K12" s="151">
        <f t="shared" si="5"/>
        <v>9401</v>
      </c>
      <c r="L12" s="154">
        <v>4741</v>
      </c>
      <c r="M12" s="155">
        <v>4660</v>
      </c>
      <c r="N12" s="151">
        <f t="shared" si="6"/>
        <v>4252</v>
      </c>
      <c r="O12" s="154">
        <f t="shared" si="7"/>
        <v>2134</v>
      </c>
      <c r="P12" s="155">
        <f t="shared" si="8"/>
        <v>2118</v>
      </c>
      <c r="Q12" s="145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</row>
    <row r="13" spans="1:42" s="147" customFormat="1" ht="18.75" customHeight="1">
      <c r="A13" s="150" t="s">
        <v>67</v>
      </c>
      <c r="B13" s="151">
        <f t="shared" si="0"/>
        <v>7766</v>
      </c>
      <c r="C13" s="154">
        <f t="shared" si="1"/>
        <v>3914</v>
      </c>
      <c r="D13" s="153">
        <f t="shared" si="2"/>
        <v>3852</v>
      </c>
      <c r="E13" s="151">
        <f t="shared" si="3"/>
        <v>5775</v>
      </c>
      <c r="F13" s="154">
        <v>2955</v>
      </c>
      <c r="G13" s="153">
        <v>2820</v>
      </c>
      <c r="H13" s="151">
        <f t="shared" si="4"/>
        <v>1991</v>
      </c>
      <c r="I13" s="154">
        <v>959</v>
      </c>
      <c r="J13" s="153">
        <v>1032</v>
      </c>
      <c r="K13" s="151">
        <f t="shared" si="5"/>
        <v>1052</v>
      </c>
      <c r="L13" s="154">
        <v>479</v>
      </c>
      <c r="M13" s="155">
        <v>573</v>
      </c>
      <c r="N13" s="151">
        <f t="shared" si="6"/>
        <v>939</v>
      </c>
      <c r="O13" s="154">
        <f t="shared" si="7"/>
        <v>480</v>
      </c>
      <c r="P13" s="155">
        <f t="shared" si="8"/>
        <v>459</v>
      </c>
      <c r="Q13" s="145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</row>
    <row r="14" spans="1:42" s="147" customFormat="1" ht="18.75" customHeight="1">
      <c r="A14" s="150" t="s">
        <v>68</v>
      </c>
      <c r="B14" s="151">
        <f t="shared" si="0"/>
        <v>4380</v>
      </c>
      <c r="C14" s="154">
        <f t="shared" si="1"/>
        <v>2211</v>
      </c>
      <c r="D14" s="153">
        <f t="shared" si="2"/>
        <v>2169</v>
      </c>
      <c r="E14" s="151">
        <f t="shared" si="3"/>
        <v>3485</v>
      </c>
      <c r="F14" s="154">
        <v>1773</v>
      </c>
      <c r="G14" s="153">
        <v>1712</v>
      </c>
      <c r="H14" s="164">
        <f t="shared" si="4"/>
        <v>895</v>
      </c>
      <c r="I14" s="154">
        <v>438</v>
      </c>
      <c r="J14" s="153">
        <v>457</v>
      </c>
      <c r="K14" s="151">
        <f t="shared" si="5"/>
        <v>669</v>
      </c>
      <c r="L14" s="154">
        <v>326</v>
      </c>
      <c r="M14" s="155">
        <v>343</v>
      </c>
      <c r="N14" s="164">
        <f t="shared" si="6"/>
        <v>226</v>
      </c>
      <c r="O14" s="165">
        <f t="shared" si="7"/>
        <v>112</v>
      </c>
      <c r="P14" s="168">
        <f t="shared" si="8"/>
        <v>114</v>
      </c>
      <c r="Q14" s="145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</row>
    <row r="15" spans="1:42" s="147" customFormat="1" ht="20.25" customHeight="1">
      <c r="A15" s="160" t="s">
        <v>69</v>
      </c>
      <c r="B15" s="161">
        <f>E15+K15+N15</f>
        <v>112884</v>
      </c>
      <c r="C15" s="152">
        <f>F15+L15+O15</f>
        <v>57369</v>
      </c>
      <c r="D15" s="162">
        <f>G15+M15+P15</f>
        <v>55515</v>
      </c>
      <c r="E15" s="161">
        <f t="shared" si="3"/>
        <v>82942</v>
      </c>
      <c r="F15" s="152">
        <f>SUM(F6:F14)</f>
        <v>42278</v>
      </c>
      <c r="G15" s="162">
        <f>SUM(G6:G14)</f>
        <v>40664</v>
      </c>
      <c r="H15" s="151">
        <f t="shared" si="4"/>
        <v>29942</v>
      </c>
      <c r="I15" s="152">
        <f>SUM(I6:I14)</f>
        <v>15091</v>
      </c>
      <c r="J15" s="163">
        <f>SUM(J6:J14)</f>
        <v>14851</v>
      </c>
      <c r="K15" s="161">
        <f t="shared" si="5"/>
        <v>21932</v>
      </c>
      <c r="L15" s="152">
        <f>SUM(L6:L14)</f>
        <v>11008</v>
      </c>
      <c r="M15" s="163">
        <f>SUM(M6:M14)</f>
        <v>10924</v>
      </c>
      <c r="N15" s="151">
        <f t="shared" si="6"/>
        <v>8010</v>
      </c>
      <c r="O15" s="154">
        <f t="shared" si="7"/>
        <v>4083</v>
      </c>
      <c r="P15" s="155">
        <f t="shared" si="8"/>
        <v>3927</v>
      </c>
      <c r="Q15" s="145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</row>
    <row r="16" spans="1:42" s="147" customFormat="1" ht="20.25" customHeight="1">
      <c r="A16" s="150" t="s">
        <v>70</v>
      </c>
      <c r="B16" s="164">
        <f>SUM(E16,K16,N16)</f>
        <v>5038</v>
      </c>
      <c r="C16" s="165">
        <f>SUM(F16,L16,O16)</f>
        <v>2579</v>
      </c>
      <c r="D16" s="166">
        <f>SUM(G16,M16,P16)</f>
        <v>2459</v>
      </c>
      <c r="E16" s="164">
        <f t="shared" si="3"/>
        <v>2855</v>
      </c>
      <c r="F16" s="165">
        <v>1463</v>
      </c>
      <c r="G16" s="166">
        <v>1392</v>
      </c>
      <c r="H16" s="164">
        <f t="shared" si="4"/>
        <v>2183</v>
      </c>
      <c r="I16" s="165">
        <v>1116</v>
      </c>
      <c r="J16" s="166">
        <v>1067</v>
      </c>
      <c r="K16" s="164">
        <f t="shared" si="5"/>
        <v>2183</v>
      </c>
      <c r="L16" s="165">
        <v>1116</v>
      </c>
      <c r="M16" s="168">
        <v>1067</v>
      </c>
      <c r="N16" s="1217" t="s">
        <v>39</v>
      </c>
      <c r="O16" s="158" t="s">
        <v>39</v>
      </c>
      <c r="P16" s="1218" t="s">
        <v>39</v>
      </c>
      <c r="Q16" s="145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</row>
    <row r="17" spans="1:42" s="147" customFormat="1" ht="20.25" customHeight="1">
      <c r="A17" s="169" t="s">
        <v>71</v>
      </c>
      <c r="B17" s="170">
        <f>E17+K17+N17</f>
        <v>117922</v>
      </c>
      <c r="C17" s="171">
        <f>F17+L17+O17</f>
        <v>59948</v>
      </c>
      <c r="D17" s="172">
        <f>G17+M17+P17</f>
        <v>57974</v>
      </c>
      <c r="E17" s="170">
        <f t="shared" si="3"/>
        <v>85797</v>
      </c>
      <c r="F17" s="171">
        <f>F15+F16</f>
        <v>43741</v>
      </c>
      <c r="G17" s="173">
        <f>G15+G16</f>
        <v>42056</v>
      </c>
      <c r="H17" s="170">
        <f t="shared" si="4"/>
        <v>32125</v>
      </c>
      <c r="I17" s="171">
        <f>I15+I16</f>
        <v>16207</v>
      </c>
      <c r="J17" s="172">
        <f>J15+J16</f>
        <v>15918</v>
      </c>
      <c r="K17" s="170">
        <f t="shared" si="5"/>
        <v>24115</v>
      </c>
      <c r="L17" s="171">
        <f>L15+L16</f>
        <v>12124</v>
      </c>
      <c r="M17" s="172">
        <f>M15+M16</f>
        <v>11991</v>
      </c>
      <c r="N17" s="170">
        <f>O17+P17</f>
        <v>8010</v>
      </c>
      <c r="O17" s="171">
        <f>SUM(O15:O16)</f>
        <v>4083</v>
      </c>
      <c r="P17" s="172">
        <f>SUM(P15:P16)</f>
        <v>3927</v>
      </c>
      <c r="Q17" s="145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</row>
    <row r="18" spans="2:42" s="147" customFormat="1" ht="15" customHeight="1">
      <c r="B18" s="141"/>
      <c r="C18" s="141"/>
      <c r="D18" s="141"/>
      <c r="E18" s="162"/>
      <c r="F18" s="162"/>
      <c r="G18" s="162"/>
      <c r="H18" s="162"/>
      <c r="I18" s="162"/>
      <c r="J18" s="162"/>
      <c r="K18" s="162"/>
      <c r="L18" s="162"/>
      <c r="M18" s="162"/>
      <c r="N18" s="174"/>
      <c r="O18" s="174"/>
      <c r="P18" s="174"/>
      <c r="Q18" s="145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</row>
    <row r="19" spans="1:42" s="136" customFormat="1" ht="21" customHeight="1">
      <c r="A19" s="136" t="s">
        <v>408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N19" s="138"/>
      <c r="O19" s="138"/>
      <c r="P19" s="138"/>
      <c r="Q19" s="145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</row>
    <row r="20" spans="2:42" s="147" customFormat="1" ht="8.25" customHeight="1">
      <c r="B20" s="141"/>
      <c r="C20" s="141"/>
      <c r="D20" s="141"/>
      <c r="E20" s="166"/>
      <c r="F20" s="153"/>
      <c r="G20" s="153"/>
      <c r="H20" s="153"/>
      <c r="I20" s="153"/>
      <c r="J20" s="153"/>
      <c r="K20" s="153"/>
      <c r="L20" s="153"/>
      <c r="M20" s="153"/>
      <c r="N20" s="174"/>
      <c r="O20" s="174"/>
      <c r="P20" s="174"/>
      <c r="Q20" s="145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</row>
    <row r="21" spans="1:42" s="147" customFormat="1" ht="14.25" customHeight="1">
      <c r="A21" s="1373" t="s">
        <v>33</v>
      </c>
      <c r="B21" s="1376" t="s">
        <v>78</v>
      </c>
      <c r="C21" s="1377"/>
      <c r="D21" s="1378"/>
      <c r="E21" s="1382" t="s">
        <v>79</v>
      </c>
      <c r="F21" s="1383"/>
      <c r="G21" s="1383"/>
      <c r="H21" s="1211"/>
      <c r="I21" s="1212" t="s">
        <v>413</v>
      </c>
      <c r="J21" s="1212"/>
      <c r="K21" s="1386" t="s">
        <v>82</v>
      </c>
      <c r="L21" s="1387"/>
      <c r="M21" s="1387"/>
      <c r="N21" s="1387"/>
      <c r="O21" s="1387"/>
      <c r="P21" s="1388"/>
      <c r="Q21" s="145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</row>
    <row r="22" spans="1:42" s="147" customFormat="1" ht="15.75" customHeight="1">
      <c r="A22" s="1374"/>
      <c r="B22" s="1379"/>
      <c r="C22" s="1380"/>
      <c r="D22" s="1381"/>
      <c r="E22" s="1384"/>
      <c r="F22" s="1385"/>
      <c r="G22" s="1385"/>
      <c r="H22" s="1213"/>
      <c r="I22" s="1214"/>
      <c r="J22" s="1214"/>
      <c r="K22" s="1389" t="s">
        <v>84</v>
      </c>
      <c r="L22" s="1390"/>
      <c r="M22" s="1391"/>
      <c r="N22" s="1389" t="s">
        <v>81</v>
      </c>
      <c r="O22" s="1390"/>
      <c r="P22" s="1391"/>
      <c r="Q22" s="145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</row>
    <row r="23" spans="1:42" s="147" customFormat="1" ht="14.25" customHeight="1">
      <c r="A23" s="1375"/>
      <c r="B23" s="175" t="s">
        <v>5</v>
      </c>
      <c r="C23" s="177" t="s">
        <v>43</v>
      </c>
      <c r="D23" s="178" t="s">
        <v>44</v>
      </c>
      <c r="E23" s="175" t="s">
        <v>5</v>
      </c>
      <c r="F23" s="177" t="s">
        <v>43</v>
      </c>
      <c r="G23" s="1215" t="s">
        <v>44</v>
      </c>
      <c r="H23" s="143" t="s">
        <v>5</v>
      </c>
      <c r="I23" s="148" t="s">
        <v>43</v>
      </c>
      <c r="J23" s="144" t="s">
        <v>44</v>
      </c>
      <c r="K23" s="175" t="s">
        <v>5</v>
      </c>
      <c r="L23" s="177" t="s">
        <v>43</v>
      </c>
      <c r="M23" s="176" t="s">
        <v>44</v>
      </c>
      <c r="N23" s="175" t="s">
        <v>5</v>
      </c>
      <c r="O23" s="177" t="s">
        <v>43</v>
      </c>
      <c r="P23" s="178" t="s">
        <v>44</v>
      </c>
      <c r="Q23" s="145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</row>
    <row r="24" spans="1:42" s="147" customFormat="1" ht="19.5" customHeight="1">
      <c r="A24" s="150" t="s">
        <v>34</v>
      </c>
      <c r="B24" s="151">
        <f aca="true" t="shared" si="9" ref="B24:D29">SUM(E24,K24,N24)</f>
        <v>38172</v>
      </c>
      <c r="C24" s="154">
        <f t="shared" si="9"/>
        <v>19490</v>
      </c>
      <c r="D24" s="153">
        <f t="shared" si="9"/>
        <v>18682</v>
      </c>
      <c r="E24" s="151">
        <f aca="true" t="shared" si="10" ref="E24:E29">F24+G24</f>
        <v>29380</v>
      </c>
      <c r="F24" s="154">
        <v>15003</v>
      </c>
      <c r="G24" s="153">
        <v>14377</v>
      </c>
      <c r="H24" s="151">
        <f aca="true" t="shared" si="11" ref="H24:H29">SUM(I24:J24)</f>
        <v>8792</v>
      </c>
      <c r="I24" s="153">
        <v>4487</v>
      </c>
      <c r="J24" s="153">
        <v>4305</v>
      </c>
      <c r="K24" s="151">
        <f aca="true" t="shared" si="12" ref="K24:K29">L24+M24</f>
        <v>6320</v>
      </c>
      <c r="L24" s="154">
        <v>3194</v>
      </c>
      <c r="M24" s="155">
        <v>3126</v>
      </c>
      <c r="N24" s="151">
        <f aca="true" t="shared" si="13" ref="N24:N29">O24+P24</f>
        <v>2472</v>
      </c>
      <c r="O24" s="154">
        <f aca="true" t="shared" si="14" ref="O24:P27">I24-L24</f>
        <v>1293</v>
      </c>
      <c r="P24" s="156">
        <f t="shared" si="14"/>
        <v>1179</v>
      </c>
      <c r="Q24" s="145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</row>
    <row r="25" spans="1:42" s="147" customFormat="1" ht="19.5" customHeight="1">
      <c r="A25" s="150" t="s">
        <v>35</v>
      </c>
      <c r="B25" s="151">
        <f t="shared" si="9"/>
        <v>28792</v>
      </c>
      <c r="C25" s="154">
        <f t="shared" si="9"/>
        <v>14622</v>
      </c>
      <c r="D25" s="153">
        <f t="shared" si="9"/>
        <v>14170</v>
      </c>
      <c r="E25" s="151">
        <f t="shared" si="10"/>
        <v>20742</v>
      </c>
      <c r="F25" s="154">
        <v>10573</v>
      </c>
      <c r="G25" s="153">
        <v>10169</v>
      </c>
      <c r="H25" s="151">
        <f t="shared" si="11"/>
        <v>8050</v>
      </c>
      <c r="I25" s="153">
        <v>4049</v>
      </c>
      <c r="J25" s="153">
        <v>4001</v>
      </c>
      <c r="K25" s="151">
        <f t="shared" si="12"/>
        <v>6746</v>
      </c>
      <c r="L25" s="154">
        <v>3359</v>
      </c>
      <c r="M25" s="155">
        <v>3387</v>
      </c>
      <c r="N25" s="151">
        <f t="shared" si="13"/>
        <v>1304</v>
      </c>
      <c r="O25" s="154">
        <f t="shared" si="14"/>
        <v>690</v>
      </c>
      <c r="P25" s="156">
        <f t="shared" si="14"/>
        <v>614</v>
      </c>
      <c r="Q25" s="145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</row>
    <row r="26" spans="1:42" s="147" customFormat="1" ht="19.5" customHeight="1">
      <c r="A26" s="150" t="s">
        <v>36</v>
      </c>
      <c r="B26" s="151">
        <f t="shared" si="9"/>
        <v>24889</v>
      </c>
      <c r="C26" s="154">
        <f t="shared" si="9"/>
        <v>12649</v>
      </c>
      <c r="D26" s="153">
        <f t="shared" si="9"/>
        <v>12240</v>
      </c>
      <c r="E26" s="151">
        <f t="shared" si="10"/>
        <v>17672</v>
      </c>
      <c r="F26" s="154">
        <v>9035</v>
      </c>
      <c r="G26" s="153">
        <v>8637</v>
      </c>
      <c r="H26" s="151">
        <f t="shared" si="11"/>
        <v>7217</v>
      </c>
      <c r="I26" s="153">
        <v>3614</v>
      </c>
      <c r="J26" s="153">
        <v>3603</v>
      </c>
      <c r="K26" s="151">
        <f t="shared" si="12"/>
        <v>5043</v>
      </c>
      <c r="L26" s="154">
        <v>2531</v>
      </c>
      <c r="M26" s="155">
        <v>2512</v>
      </c>
      <c r="N26" s="151">
        <f t="shared" si="13"/>
        <v>2174</v>
      </c>
      <c r="O26" s="154">
        <f t="shared" si="14"/>
        <v>1083</v>
      </c>
      <c r="P26" s="156">
        <f t="shared" si="14"/>
        <v>1091</v>
      </c>
      <c r="Q26" s="145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</row>
    <row r="27" spans="1:42" s="147" customFormat="1" ht="28.5" customHeight="1">
      <c r="A27" s="1252" t="s">
        <v>51</v>
      </c>
      <c r="B27" s="151">
        <f t="shared" si="9"/>
        <v>21031</v>
      </c>
      <c r="C27" s="154">
        <f t="shared" si="9"/>
        <v>10608</v>
      </c>
      <c r="D27" s="153">
        <f t="shared" si="9"/>
        <v>10423</v>
      </c>
      <c r="E27" s="151">
        <f t="shared" si="10"/>
        <v>15148</v>
      </c>
      <c r="F27" s="154">
        <v>7667</v>
      </c>
      <c r="G27" s="153">
        <v>7481</v>
      </c>
      <c r="H27" s="151">
        <f t="shared" si="11"/>
        <v>5883</v>
      </c>
      <c r="I27" s="153">
        <v>2941</v>
      </c>
      <c r="J27" s="153">
        <v>2942</v>
      </c>
      <c r="K27" s="151">
        <f t="shared" si="12"/>
        <v>3823</v>
      </c>
      <c r="L27" s="154">
        <v>1924</v>
      </c>
      <c r="M27" s="155">
        <v>1899</v>
      </c>
      <c r="N27" s="151">
        <f t="shared" si="13"/>
        <v>2060</v>
      </c>
      <c r="O27" s="154">
        <f t="shared" si="14"/>
        <v>1017</v>
      </c>
      <c r="P27" s="156">
        <f t="shared" si="14"/>
        <v>1043</v>
      </c>
      <c r="Q27" s="145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</row>
    <row r="28" spans="1:42" s="147" customFormat="1" ht="19.5" customHeight="1">
      <c r="A28" s="150" t="s">
        <v>38</v>
      </c>
      <c r="B28" s="151">
        <f t="shared" si="9"/>
        <v>5038</v>
      </c>
      <c r="C28" s="154">
        <f t="shared" si="9"/>
        <v>2579</v>
      </c>
      <c r="D28" s="153">
        <f t="shared" si="9"/>
        <v>2459</v>
      </c>
      <c r="E28" s="167">
        <f t="shared" si="10"/>
        <v>2855</v>
      </c>
      <c r="F28" s="154">
        <v>1463</v>
      </c>
      <c r="G28" s="153">
        <v>1392</v>
      </c>
      <c r="H28" s="151">
        <f t="shared" si="11"/>
        <v>2183</v>
      </c>
      <c r="I28" s="153">
        <v>1116</v>
      </c>
      <c r="J28" s="153">
        <v>1067</v>
      </c>
      <c r="K28" s="151">
        <f t="shared" si="12"/>
        <v>2183</v>
      </c>
      <c r="L28" s="154">
        <v>1116</v>
      </c>
      <c r="M28" s="155">
        <v>1067</v>
      </c>
      <c r="N28" s="157" t="s">
        <v>39</v>
      </c>
      <c r="O28" s="158" t="s">
        <v>39</v>
      </c>
      <c r="P28" s="1219" t="s">
        <v>39</v>
      </c>
      <c r="Q28" s="145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</row>
    <row r="29" spans="1:42" s="147" customFormat="1" ht="19.5" customHeight="1">
      <c r="A29" s="169" t="s">
        <v>52</v>
      </c>
      <c r="B29" s="170">
        <f t="shared" si="9"/>
        <v>117922</v>
      </c>
      <c r="C29" s="171">
        <f t="shared" si="9"/>
        <v>59948</v>
      </c>
      <c r="D29" s="173">
        <f t="shared" si="9"/>
        <v>57974</v>
      </c>
      <c r="E29" s="170">
        <f t="shared" si="10"/>
        <v>85797</v>
      </c>
      <c r="F29" s="171">
        <f>SUM(F24:F28)</f>
        <v>43741</v>
      </c>
      <c r="G29" s="173">
        <f>SUM(G24:G28)</f>
        <v>42056</v>
      </c>
      <c r="H29" s="151">
        <f t="shared" si="11"/>
        <v>32125</v>
      </c>
      <c r="I29" s="171">
        <f>SUM(I24:I28)</f>
        <v>16207</v>
      </c>
      <c r="J29" s="172">
        <f>SUM(J24:J28)</f>
        <v>15918</v>
      </c>
      <c r="K29" s="170">
        <f t="shared" si="12"/>
        <v>24115</v>
      </c>
      <c r="L29" s="171">
        <f>SUM(L24:L28)</f>
        <v>12124</v>
      </c>
      <c r="M29" s="172">
        <f>SUM(M24:M28)</f>
        <v>11991</v>
      </c>
      <c r="N29" s="170">
        <f t="shared" si="13"/>
        <v>8010</v>
      </c>
      <c r="O29" s="171">
        <f>SUM(O24:O28)</f>
        <v>4083</v>
      </c>
      <c r="P29" s="172">
        <f>SUM(P24:P28)</f>
        <v>3927</v>
      </c>
      <c r="Q29" s="145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</row>
    <row r="30" ht="5.25" customHeight="1">
      <c r="A30" s="179"/>
    </row>
    <row r="31" spans="1:17" s="180" customFormat="1" ht="18" customHeight="1">
      <c r="A31" s="180" t="s">
        <v>83</v>
      </c>
      <c r="Q31" s="142"/>
    </row>
    <row r="32" spans="1:17" s="184" customFormat="1" ht="12.75" customHeight="1">
      <c r="A32" s="181"/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3"/>
      <c r="Q32" s="142"/>
    </row>
  </sheetData>
  <sheetProtection/>
  <mergeCells count="12">
    <mergeCell ref="A3:A5"/>
    <mergeCell ref="B3:D4"/>
    <mergeCell ref="E3:G4"/>
    <mergeCell ref="K3:P3"/>
    <mergeCell ref="K4:M4"/>
    <mergeCell ref="N4:P4"/>
    <mergeCell ref="A21:A23"/>
    <mergeCell ref="B21:D22"/>
    <mergeCell ref="E21:G22"/>
    <mergeCell ref="K21:P21"/>
    <mergeCell ref="K22:M22"/>
    <mergeCell ref="N22:P22"/>
  </mergeCells>
  <printOptions/>
  <pageMargins left="0.2" right="0.26" top="0.84" bottom="0.1" header="0.5" footer="0.25"/>
  <pageSetup horizontalDpi="300" verticalDpi="3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27" sqref="H27"/>
    </sheetView>
  </sheetViews>
  <sheetFormatPr defaultColWidth="8.8515625" defaultRowHeight="12.75"/>
  <cols>
    <col min="1" max="1" width="30.00390625" style="186" customWidth="1"/>
    <col min="2" max="7" width="7.00390625" style="186" customWidth="1"/>
    <col min="8" max="8" width="10.140625" style="186" customWidth="1"/>
    <col min="9" max="9" width="8.140625" style="186" customWidth="1"/>
    <col min="10" max="10" width="4.8515625" style="186" customWidth="1"/>
    <col min="11" max="16384" width="8.8515625" style="186" customWidth="1"/>
  </cols>
  <sheetData>
    <row r="1" ht="21.75" customHeight="1">
      <c r="A1" s="185" t="s">
        <v>409</v>
      </c>
    </row>
    <row r="2" spans="1:9" ht="16.5" customHeight="1">
      <c r="A2" s="187"/>
      <c r="B2" s="188"/>
      <c r="C2" s="188"/>
      <c r="D2" s="188"/>
      <c r="E2" s="188"/>
      <c r="F2" s="188"/>
      <c r="G2" s="188"/>
      <c r="H2" s="188"/>
      <c r="I2" s="188"/>
    </row>
    <row r="3" spans="1:9" s="192" customFormat="1" ht="18" customHeight="1">
      <c r="A3" s="1397" t="s">
        <v>16</v>
      </c>
      <c r="B3" s="189" t="s">
        <v>85</v>
      </c>
      <c r="C3" s="190"/>
      <c r="D3" s="191"/>
      <c r="E3" s="190"/>
      <c r="F3" s="191"/>
      <c r="G3" s="190"/>
      <c r="H3" s="190"/>
      <c r="I3" s="1399" t="s">
        <v>86</v>
      </c>
    </row>
    <row r="4" spans="1:9" s="192" customFormat="1" ht="45" customHeight="1">
      <c r="A4" s="1398"/>
      <c r="B4" s="193" t="s">
        <v>87</v>
      </c>
      <c r="C4" s="193" t="s">
        <v>88</v>
      </c>
      <c r="D4" s="193" t="s">
        <v>89</v>
      </c>
      <c r="E4" s="193" t="s">
        <v>90</v>
      </c>
      <c r="F4" s="193" t="s">
        <v>91</v>
      </c>
      <c r="G4" s="193" t="s">
        <v>92</v>
      </c>
      <c r="H4" s="194" t="s">
        <v>93</v>
      </c>
      <c r="I4" s="1400"/>
    </row>
    <row r="5" spans="1:9" s="192" customFormat="1" ht="30.75" customHeight="1">
      <c r="A5" s="195" t="s">
        <v>59</v>
      </c>
      <c r="B5" s="196">
        <v>2539</v>
      </c>
      <c r="C5" s="196">
        <v>2695</v>
      </c>
      <c r="D5" s="196">
        <v>2585</v>
      </c>
      <c r="E5" s="196">
        <v>2757</v>
      </c>
      <c r="F5" s="196">
        <v>2648</v>
      </c>
      <c r="G5" s="196">
        <v>2526</v>
      </c>
      <c r="H5" s="197">
        <v>769</v>
      </c>
      <c r="I5" s="198">
        <f aca="true" t="shared" si="0" ref="I5:I16">SUM(B5:H5)</f>
        <v>16519</v>
      </c>
    </row>
    <row r="6" spans="1:9" s="192" customFormat="1" ht="30.75" customHeight="1">
      <c r="A6" s="199" t="s">
        <v>60</v>
      </c>
      <c r="B6" s="200">
        <v>1598</v>
      </c>
      <c r="C6" s="200">
        <v>1678</v>
      </c>
      <c r="D6" s="200">
        <v>1682</v>
      </c>
      <c r="E6" s="200">
        <v>1664</v>
      </c>
      <c r="F6" s="200">
        <v>1692</v>
      </c>
      <c r="G6" s="200">
        <v>1750</v>
      </c>
      <c r="H6" s="201">
        <v>427</v>
      </c>
      <c r="I6" s="202">
        <f t="shared" si="0"/>
        <v>10491</v>
      </c>
    </row>
    <row r="7" spans="1:9" s="192" customFormat="1" ht="30.75" customHeight="1">
      <c r="A7" s="199" t="s">
        <v>62</v>
      </c>
      <c r="B7" s="200">
        <v>1655</v>
      </c>
      <c r="C7" s="200">
        <v>1636</v>
      </c>
      <c r="D7" s="200">
        <v>1726</v>
      </c>
      <c r="E7" s="200">
        <v>1684</v>
      </c>
      <c r="F7" s="200">
        <v>1787</v>
      </c>
      <c r="G7" s="200">
        <v>1528</v>
      </c>
      <c r="H7" s="201">
        <v>325</v>
      </c>
      <c r="I7" s="202">
        <f t="shared" si="0"/>
        <v>10341</v>
      </c>
    </row>
    <row r="8" spans="1:9" s="192" customFormat="1" ht="30.75" customHeight="1">
      <c r="A8" s="199" t="s">
        <v>63</v>
      </c>
      <c r="B8" s="200">
        <v>2112</v>
      </c>
      <c r="C8" s="200">
        <v>2196</v>
      </c>
      <c r="D8" s="200">
        <v>2263</v>
      </c>
      <c r="E8" s="200">
        <v>2333</v>
      </c>
      <c r="F8" s="200">
        <v>2292</v>
      </c>
      <c r="G8" s="200">
        <v>2128</v>
      </c>
      <c r="H8" s="201">
        <v>474</v>
      </c>
      <c r="I8" s="202">
        <f t="shared" si="0"/>
        <v>13798</v>
      </c>
    </row>
    <row r="9" spans="1:9" s="192" customFormat="1" ht="30.75" customHeight="1">
      <c r="A9" s="199" t="s">
        <v>64</v>
      </c>
      <c r="B9" s="200">
        <v>1611</v>
      </c>
      <c r="C9" s="200">
        <v>1646</v>
      </c>
      <c r="D9" s="200">
        <v>1649</v>
      </c>
      <c r="E9" s="200">
        <v>1744</v>
      </c>
      <c r="F9" s="200">
        <v>1800</v>
      </c>
      <c r="G9" s="200">
        <v>1622</v>
      </c>
      <c r="H9" s="201">
        <v>346</v>
      </c>
      <c r="I9" s="202">
        <f t="shared" si="0"/>
        <v>10418</v>
      </c>
    </row>
    <row r="10" spans="1:9" s="192" customFormat="1" ht="30.75" customHeight="1">
      <c r="A10" s="199" t="s">
        <v>65</v>
      </c>
      <c r="B10" s="200">
        <v>949</v>
      </c>
      <c r="C10" s="200">
        <v>1035</v>
      </c>
      <c r="D10" s="200">
        <v>990</v>
      </c>
      <c r="E10" s="200">
        <v>986</v>
      </c>
      <c r="F10" s="200">
        <v>994</v>
      </c>
      <c r="G10" s="200">
        <v>931</v>
      </c>
      <c r="H10" s="201">
        <v>254</v>
      </c>
      <c r="I10" s="202">
        <f t="shared" si="0"/>
        <v>6139</v>
      </c>
    </row>
    <row r="11" spans="1:9" s="192" customFormat="1" ht="30.75" customHeight="1">
      <c r="A11" s="199" t="s">
        <v>66</v>
      </c>
      <c r="B11" s="200">
        <v>5243</v>
      </c>
      <c r="C11" s="200">
        <v>5345</v>
      </c>
      <c r="D11" s="200">
        <v>5360</v>
      </c>
      <c r="E11" s="200">
        <v>5355</v>
      </c>
      <c r="F11" s="200">
        <v>5415</v>
      </c>
      <c r="G11" s="200">
        <v>5344</v>
      </c>
      <c r="H11" s="201">
        <v>970</v>
      </c>
      <c r="I11" s="202">
        <f t="shared" si="0"/>
        <v>33032</v>
      </c>
    </row>
    <row r="12" spans="1:9" s="192" customFormat="1" ht="30.75" customHeight="1">
      <c r="A12" s="199" t="s">
        <v>67</v>
      </c>
      <c r="B12" s="200">
        <v>1281</v>
      </c>
      <c r="C12" s="200">
        <v>1283</v>
      </c>
      <c r="D12" s="200">
        <v>1223</v>
      </c>
      <c r="E12" s="200">
        <v>1307</v>
      </c>
      <c r="F12" s="200">
        <v>1251</v>
      </c>
      <c r="G12" s="200">
        <v>1181</v>
      </c>
      <c r="H12" s="201">
        <v>240</v>
      </c>
      <c r="I12" s="202">
        <f t="shared" si="0"/>
        <v>7766</v>
      </c>
    </row>
    <row r="13" spans="1:9" s="192" customFormat="1" ht="30.75" customHeight="1">
      <c r="A13" s="199" t="s">
        <v>68</v>
      </c>
      <c r="B13" s="200">
        <v>812</v>
      </c>
      <c r="C13" s="200">
        <v>761</v>
      </c>
      <c r="D13" s="200">
        <v>671</v>
      </c>
      <c r="E13" s="200">
        <v>676</v>
      </c>
      <c r="F13" s="200">
        <v>631</v>
      </c>
      <c r="G13" s="200">
        <v>578</v>
      </c>
      <c r="H13" s="201">
        <v>251</v>
      </c>
      <c r="I13" s="202">
        <f t="shared" si="0"/>
        <v>4380</v>
      </c>
    </row>
    <row r="14" spans="1:9" s="192" customFormat="1" ht="30.75" customHeight="1">
      <c r="A14" s="195" t="s">
        <v>69</v>
      </c>
      <c r="B14" s="196">
        <f>SUM(B5:B13)</f>
        <v>17800</v>
      </c>
      <c r="C14" s="196">
        <f aca="true" t="shared" si="1" ref="C14:I14">SUM(C5:C13)</f>
        <v>18275</v>
      </c>
      <c r="D14" s="196">
        <f t="shared" si="1"/>
        <v>18149</v>
      </c>
      <c r="E14" s="196">
        <f t="shared" si="1"/>
        <v>18506</v>
      </c>
      <c r="F14" s="196">
        <f t="shared" si="1"/>
        <v>18510</v>
      </c>
      <c r="G14" s="196">
        <f t="shared" si="1"/>
        <v>17588</v>
      </c>
      <c r="H14" s="203">
        <f t="shared" si="1"/>
        <v>4056</v>
      </c>
      <c r="I14" s="198">
        <f t="shared" si="1"/>
        <v>112884</v>
      </c>
    </row>
    <row r="15" spans="1:9" s="192" customFormat="1" ht="30.75" customHeight="1">
      <c r="A15" s="199" t="s">
        <v>70</v>
      </c>
      <c r="B15" s="200">
        <v>813</v>
      </c>
      <c r="C15" s="200">
        <v>846</v>
      </c>
      <c r="D15" s="200">
        <v>806</v>
      </c>
      <c r="E15" s="200">
        <v>823</v>
      </c>
      <c r="F15" s="200">
        <v>800</v>
      </c>
      <c r="G15" s="200">
        <v>694</v>
      </c>
      <c r="H15" s="201">
        <v>256</v>
      </c>
      <c r="I15" s="202">
        <f t="shared" si="0"/>
        <v>5038</v>
      </c>
    </row>
    <row r="16" spans="1:9" s="192" customFormat="1" ht="30.75" customHeight="1">
      <c r="A16" s="204" t="s">
        <v>94</v>
      </c>
      <c r="B16" s="205">
        <f aca="true" t="shared" si="2" ref="B16:H16">SUM(B14:B15)</f>
        <v>18613</v>
      </c>
      <c r="C16" s="205">
        <f t="shared" si="2"/>
        <v>19121</v>
      </c>
      <c r="D16" s="205">
        <f t="shared" si="2"/>
        <v>18955</v>
      </c>
      <c r="E16" s="205">
        <f t="shared" si="2"/>
        <v>19329</v>
      </c>
      <c r="F16" s="205">
        <f t="shared" si="2"/>
        <v>19310</v>
      </c>
      <c r="G16" s="205">
        <f t="shared" si="2"/>
        <v>18282</v>
      </c>
      <c r="H16" s="217">
        <f t="shared" si="2"/>
        <v>4312</v>
      </c>
      <c r="I16" s="1013">
        <f t="shared" si="0"/>
        <v>117922</v>
      </c>
    </row>
    <row r="17" spans="1:9" s="192" customFormat="1" ht="9.75" customHeight="1">
      <c r="A17" s="208"/>
      <c r="B17" s="209"/>
      <c r="C17" s="209"/>
      <c r="D17" s="209"/>
      <c r="E17" s="209"/>
      <c r="F17" s="209"/>
      <c r="G17" s="209"/>
      <c r="H17" s="210"/>
      <c r="I17" s="209"/>
    </row>
    <row r="18" spans="1:9" s="192" customFormat="1" ht="20.25" customHeight="1">
      <c r="A18" s="211" t="s">
        <v>414</v>
      </c>
      <c r="B18" s="209"/>
      <c r="C18" s="209"/>
      <c r="D18" s="209"/>
      <c r="E18" s="209"/>
      <c r="F18" s="209"/>
      <c r="G18" s="209"/>
      <c r="H18" s="210"/>
      <c r="I18" s="209"/>
    </row>
    <row r="19" spans="1:18" s="192" customFormat="1" ht="10.5" customHeight="1">
      <c r="A19" s="212"/>
      <c r="B19" s="209"/>
      <c r="C19" s="209"/>
      <c r="D19" s="209"/>
      <c r="E19" s="209"/>
      <c r="F19" s="209"/>
      <c r="G19" s="209"/>
      <c r="H19" s="210"/>
      <c r="I19" s="209"/>
      <c r="K19" s="186"/>
      <c r="L19" s="186"/>
      <c r="M19" s="186"/>
      <c r="N19" s="186"/>
      <c r="O19" s="186"/>
      <c r="P19" s="186"/>
      <c r="Q19" s="186"/>
      <c r="R19" s="186"/>
    </row>
    <row r="20" spans="1:18" s="192" customFormat="1" ht="18" customHeight="1">
      <c r="A20" s="1397" t="s">
        <v>33</v>
      </c>
      <c r="B20" s="213" t="s">
        <v>85</v>
      </c>
      <c r="C20" s="214"/>
      <c r="D20" s="213"/>
      <c r="E20" s="214"/>
      <c r="F20" s="213"/>
      <c r="G20" s="213"/>
      <c r="H20" s="215"/>
      <c r="I20" s="1399" t="s">
        <v>86</v>
      </c>
      <c r="K20" s="186"/>
      <c r="L20" s="186"/>
      <c r="M20" s="186"/>
      <c r="N20" s="186"/>
      <c r="O20" s="186"/>
      <c r="P20" s="186"/>
      <c r="Q20" s="186"/>
      <c r="R20" s="186"/>
    </row>
    <row r="21" spans="1:18" s="192" customFormat="1" ht="44.25" customHeight="1">
      <c r="A21" s="1398"/>
      <c r="B21" s="193" t="s">
        <v>87</v>
      </c>
      <c r="C21" s="193" t="s">
        <v>88</v>
      </c>
      <c r="D21" s="193" t="s">
        <v>89</v>
      </c>
      <c r="E21" s="193" t="s">
        <v>90</v>
      </c>
      <c r="F21" s="193" t="s">
        <v>91</v>
      </c>
      <c r="G21" s="191" t="s">
        <v>92</v>
      </c>
      <c r="H21" s="194" t="s">
        <v>93</v>
      </c>
      <c r="I21" s="1400"/>
      <c r="K21" s="186"/>
      <c r="L21" s="186"/>
      <c r="M21" s="186"/>
      <c r="N21" s="186"/>
      <c r="O21" s="186"/>
      <c r="P21" s="186"/>
      <c r="Q21" s="186"/>
      <c r="R21" s="186"/>
    </row>
    <row r="22" spans="1:18" s="192" customFormat="1" ht="31.5" customHeight="1">
      <c r="A22" s="195" t="s">
        <v>259</v>
      </c>
      <c r="B22" s="196">
        <v>5926</v>
      </c>
      <c r="C22" s="196">
        <v>6140</v>
      </c>
      <c r="D22" s="196">
        <v>6122</v>
      </c>
      <c r="E22" s="196">
        <v>6230</v>
      </c>
      <c r="F22" s="196">
        <v>6241</v>
      </c>
      <c r="G22" s="216">
        <v>5942</v>
      </c>
      <c r="H22" s="197">
        <v>1571</v>
      </c>
      <c r="I22" s="198">
        <f>SUM(B22:H22)</f>
        <v>38172</v>
      </c>
      <c r="K22" s="186"/>
      <c r="L22" s="186"/>
      <c r="M22" s="186"/>
      <c r="N22" s="186"/>
      <c r="O22" s="186"/>
      <c r="P22" s="186"/>
      <c r="Q22" s="186"/>
      <c r="R22" s="186"/>
    </row>
    <row r="23" spans="1:18" s="192" customFormat="1" ht="31.5" customHeight="1">
      <c r="A23" s="199" t="s">
        <v>95</v>
      </c>
      <c r="B23" s="200">
        <v>4500</v>
      </c>
      <c r="C23" s="200">
        <v>4585</v>
      </c>
      <c r="D23" s="200">
        <v>4624</v>
      </c>
      <c r="E23" s="200">
        <v>4817</v>
      </c>
      <c r="F23" s="200">
        <v>4773</v>
      </c>
      <c r="G23" s="209">
        <v>4500</v>
      </c>
      <c r="H23" s="201">
        <v>993</v>
      </c>
      <c r="I23" s="202">
        <f>SUM(B23:H23)</f>
        <v>28792</v>
      </c>
      <c r="K23" s="186"/>
      <c r="L23" s="186"/>
      <c r="M23" s="186"/>
      <c r="N23" s="186"/>
      <c r="O23" s="186"/>
      <c r="P23" s="186"/>
      <c r="Q23" s="186"/>
      <c r="R23" s="186"/>
    </row>
    <row r="24" spans="1:18" s="192" customFormat="1" ht="31.5" customHeight="1">
      <c r="A24" s="199" t="s">
        <v>96</v>
      </c>
      <c r="B24" s="200">
        <v>3861</v>
      </c>
      <c r="C24" s="200">
        <v>4079</v>
      </c>
      <c r="D24" s="200">
        <v>4007</v>
      </c>
      <c r="E24" s="200">
        <v>4106</v>
      </c>
      <c r="F24" s="200">
        <v>4125</v>
      </c>
      <c r="G24" s="209">
        <v>3888</v>
      </c>
      <c r="H24" s="201">
        <v>823</v>
      </c>
      <c r="I24" s="202">
        <f>SUM(B24:H24)</f>
        <v>24889</v>
      </c>
      <c r="K24" s="186"/>
      <c r="L24" s="186"/>
      <c r="M24" s="186"/>
      <c r="N24" s="186"/>
      <c r="O24" s="186"/>
      <c r="P24" s="186"/>
      <c r="Q24" s="186"/>
      <c r="R24" s="186"/>
    </row>
    <row r="25" spans="1:18" s="192" customFormat="1" ht="31.5" customHeight="1">
      <c r="A25" s="199" t="s">
        <v>97</v>
      </c>
      <c r="B25" s="200">
        <v>3513</v>
      </c>
      <c r="C25" s="200">
        <v>3471</v>
      </c>
      <c r="D25" s="200">
        <v>3396</v>
      </c>
      <c r="E25" s="200">
        <v>3353</v>
      </c>
      <c r="F25" s="200">
        <v>3371</v>
      </c>
      <c r="G25" s="209">
        <v>3258</v>
      </c>
      <c r="H25" s="201">
        <v>669</v>
      </c>
      <c r="I25" s="202">
        <f>SUM(B25:H25)</f>
        <v>21031</v>
      </c>
      <c r="K25" s="186"/>
      <c r="L25" s="186"/>
      <c r="M25" s="186"/>
      <c r="N25" s="186"/>
      <c r="O25" s="186"/>
      <c r="P25" s="186"/>
      <c r="Q25" s="186"/>
      <c r="R25" s="186"/>
    </row>
    <row r="26" spans="1:18" s="192" customFormat="1" ht="31.5" customHeight="1">
      <c r="A26" s="199" t="s">
        <v>98</v>
      </c>
      <c r="B26" s="200">
        <v>813</v>
      </c>
      <c r="C26" s="200">
        <v>846</v>
      </c>
      <c r="D26" s="200">
        <v>806</v>
      </c>
      <c r="E26" s="200">
        <v>823</v>
      </c>
      <c r="F26" s="200">
        <v>800</v>
      </c>
      <c r="G26" s="209">
        <v>694</v>
      </c>
      <c r="H26" s="201">
        <v>256</v>
      </c>
      <c r="I26" s="202">
        <f>SUM(B26:H26)</f>
        <v>5038</v>
      </c>
      <c r="K26" s="186"/>
      <c r="L26" s="186"/>
      <c r="M26" s="186"/>
      <c r="N26" s="186"/>
      <c r="O26" s="186"/>
      <c r="P26" s="186"/>
      <c r="Q26" s="186"/>
      <c r="R26" s="186"/>
    </row>
    <row r="27" spans="1:18" s="192" customFormat="1" ht="31.5" customHeight="1">
      <c r="A27" s="204" t="s">
        <v>99</v>
      </c>
      <c r="B27" s="205">
        <f aca="true" t="shared" si="3" ref="B27:I27">SUM(B22:B26)</f>
        <v>18613</v>
      </c>
      <c r="C27" s="205">
        <f t="shared" si="3"/>
        <v>19121</v>
      </c>
      <c r="D27" s="205">
        <f t="shared" si="3"/>
        <v>18955</v>
      </c>
      <c r="E27" s="205">
        <f t="shared" si="3"/>
        <v>19329</v>
      </c>
      <c r="F27" s="205">
        <f t="shared" si="3"/>
        <v>19310</v>
      </c>
      <c r="G27" s="217">
        <f t="shared" si="3"/>
        <v>18282</v>
      </c>
      <c r="H27" s="206">
        <f t="shared" si="3"/>
        <v>4312</v>
      </c>
      <c r="I27" s="207">
        <f t="shared" si="3"/>
        <v>117922</v>
      </c>
      <c r="K27" s="186"/>
      <c r="L27" s="186"/>
      <c r="M27" s="186"/>
      <c r="N27" s="186"/>
      <c r="O27" s="186"/>
      <c r="P27" s="186"/>
      <c r="Q27" s="186"/>
      <c r="R27" s="186"/>
    </row>
    <row r="28" spans="1:18" s="192" customFormat="1" ht="18.75" customHeight="1">
      <c r="A28" s="218" t="s">
        <v>100</v>
      </c>
      <c r="K28" s="186"/>
      <c r="L28" s="186"/>
      <c r="M28" s="186"/>
      <c r="N28" s="186"/>
      <c r="O28" s="186"/>
      <c r="P28" s="186"/>
      <c r="Q28" s="186"/>
      <c r="R28" s="186"/>
    </row>
  </sheetData>
  <sheetProtection/>
  <mergeCells count="4">
    <mergeCell ref="A3:A4"/>
    <mergeCell ref="A20:A21"/>
    <mergeCell ref="I20:I21"/>
    <mergeCell ref="I3:I4"/>
  </mergeCells>
  <printOptions/>
  <pageMargins left="0.59" right="0.27" top="0.66" bottom="0.3" header="0.38" footer="0"/>
  <pageSetup horizontalDpi="300" verticalDpi="300" orientation="portrait" paperSize="9" r:id="rId1"/>
  <headerFooter alignWithMargins="0">
    <oddHeader>&amp;C&amp;"Times New Roman,Regular"- 13 -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pane xSplit="9" ySplit="5" topLeftCell="J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Q13" sqref="Q13"/>
    </sheetView>
  </sheetViews>
  <sheetFormatPr defaultColWidth="9.140625" defaultRowHeight="12.75"/>
  <cols>
    <col min="1" max="1" width="1.7109375" style="220" customWidth="1"/>
    <col min="2" max="2" width="2.7109375" style="220" customWidth="1"/>
    <col min="3" max="3" width="10.7109375" style="220" customWidth="1"/>
    <col min="4" max="6" width="10.7109375" style="220" hidden="1" customWidth="1"/>
    <col min="7" max="7" width="8.57421875" style="220" hidden="1" customWidth="1"/>
    <col min="8" max="9" width="8.421875" style="220" hidden="1" customWidth="1"/>
    <col min="10" max="10" width="8.57421875" style="220" customWidth="1"/>
    <col min="11" max="12" width="8.421875" style="220" customWidth="1"/>
    <col min="13" max="13" width="8.57421875" style="220" customWidth="1"/>
    <col min="14" max="14" width="8.421875" style="220" customWidth="1"/>
    <col min="15" max="15" width="8.28125" style="220" customWidth="1"/>
    <col min="16" max="16384" width="9.140625" style="220" customWidth="1"/>
  </cols>
  <sheetData>
    <row r="1" ht="18" customHeight="1">
      <c r="A1" s="219" t="s">
        <v>410</v>
      </c>
    </row>
    <row r="2" ht="12.75" customHeight="1"/>
    <row r="3" spans="1:18" s="221" customFormat="1" ht="18.75" customHeight="1">
      <c r="A3" s="1404" t="s">
        <v>101</v>
      </c>
      <c r="B3" s="1405"/>
      <c r="C3" s="1406"/>
      <c r="D3" s="1401">
        <v>2005</v>
      </c>
      <c r="E3" s="1402"/>
      <c r="F3" s="1403"/>
      <c r="G3" s="1401">
        <v>2006</v>
      </c>
      <c r="H3" s="1402"/>
      <c r="I3" s="1403"/>
      <c r="J3" s="1401">
        <v>2007</v>
      </c>
      <c r="K3" s="1402"/>
      <c r="L3" s="1403"/>
      <c r="M3" s="1401">
        <v>2008</v>
      </c>
      <c r="N3" s="1402"/>
      <c r="O3" s="1403"/>
      <c r="P3" s="1401">
        <v>2009</v>
      </c>
      <c r="Q3" s="1402"/>
      <c r="R3" s="1403"/>
    </row>
    <row r="4" spans="1:18" s="221" customFormat="1" ht="19.5" customHeight="1">
      <c r="A4" s="1407"/>
      <c r="B4" s="1408"/>
      <c r="C4" s="1409"/>
      <c r="D4" s="222" t="s">
        <v>5</v>
      </c>
      <c r="E4" s="223" t="s">
        <v>43</v>
      </c>
      <c r="F4" s="224" t="s">
        <v>44</v>
      </c>
      <c r="G4" s="222" t="s">
        <v>5</v>
      </c>
      <c r="H4" s="223" t="s">
        <v>43</v>
      </c>
      <c r="I4" s="224" t="s">
        <v>44</v>
      </c>
      <c r="J4" s="222" t="s">
        <v>5</v>
      </c>
      <c r="K4" s="223" t="s">
        <v>43</v>
      </c>
      <c r="L4" s="224" t="s">
        <v>44</v>
      </c>
      <c r="M4" s="222" t="s">
        <v>5</v>
      </c>
      <c r="N4" s="223" t="s">
        <v>43</v>
      </c>
      <c r="O4" s="224" t="s">
        <v>44</v>
      </c>
      <c r="P4" s="222" t="s">
        <v>5</v>
      </c>
      <c r="Q4" s="223" t="s">
        <v>43</v>
      </c>
      <c r="R4" s="224" t="s">
        <v>44</v>
      </c>
    </row>
    <row r="5" spans="1:18" s="221" customFormat="1" ht="21.75" customHeight="1">
      <c r="A5" s="225" t="s">
        <v>50</v>
      </c>
      <c r="B5" s="226"/>
      <c r="C5" s="226"/>
      <c r="D5" s="227"/>
      <c r="E5" s="227"/>
      <c r="F5" s="227"/>
      <c r="I5" s="227"/>
      <c r="J5" s="227"/>
      <c r="L5" s="227"/>
      <c r="M5" s="1170"/>
      <c r="O5" s="228"/>
      <c r="P5" s="1170"/>
      <c r="R5" s="228"/>
    </row>
    <row r="6" spans="1:18" s="235" customFormat="1" ht="25.5" customHeight="1">
      <c r="A6" s="229" t="s">
        <v>102</v>
      </c>
      <c r="B6" s="230" t="s">
        <v>87</v>
      </c>
      <c r="C6" s="231"/>
      <c r="D6" s="232">
        <f aca="true" t="shared" si="0" ref="D6:D12">E6+F6</f>
        <v>19525</v>
      </c>
      <c r="E6" s="233">
        <v>9928</v>
      </c>
      <c r="F6" s="234">
        <v>9597</v>
      </c>
      <c r="G6" s="232">
        <f aca="true" t="shared" si="1" ref="G6:G12">H6+I6</f>
        <v>19437</v>
      </c>
      <c r="H6" s="233">
        <v>9861</v>
      </c>
      <c r="I6" s="234">
        <v>9576</v>
      </c>
      <c r="J6" s="232">
        <f aca="true" t="shared" si="2" ref="J6:J12">K6+L6</f>
        <v>18831</v>
      </c>
      <c r="K6" s="233">
        <f>K15+K24</f>
        <v>9465</v>
      </c>
      <c r="L6" s="234">
        <f aca="true" t="shared" si="3" ref="L6:L12">L15+L24</f>
        <v>9366</v>
      </c>
      <c r="M6" s="239">
        <f aca="true" t="shared" si="4" ref="M6:M12">N6+O6</f>
        <v>19048</v>
      </c>
      <c r="N6" s="233">
        <f>N15+N24</f>
        <v>9587</v>
      </c>
      <c r="O6" s="234">
        <f aca="true" t="shared" si="5" ref="O6:O12">O15+O24</f>
        <v>9461</v>
      </c>
      <c r="P6" s="239">
        <f aca="true" t="shared" si="6" ref="P6:P12">Q6+R6</f>
        <v>18613</v>
      </c>
      <c r="Q6" s="233">
        <f>Q15+Q24</f>
        <v>9452</v>
      </c>
      <c r="R6" s="234">
        <f aca="true" t="shared" si="7" ref="R6:R12">R15+R24</f>
        <v>9161</v>
      </c>
    </row>
    <row r="7" spans="1:18" s="235" customFormat="1" ht="25.5" customHeight="1">
      <c r="A7" s="236"/>
      <c r="B7" s="237" t="s">
        <v>88</v>
      </c>
      <c r="C7" s="238"/>
      <c r="D7" s="239">
        <f t="shared" si="0"/>
        <v>18578</v>
      </c>
      <c r="E7" s="240">
        <v>9420</v>
      </c>
      <c r="F7" s="241">
        <v>9158</v>
      </c>
      <c r="G7" s="239">
        <f t="shared" si="1"/>
        <v>19623</v>
      </c>
      <c r="H7" s="240">
        <v>9937</v>
      </c>
      <c r="I7" s="241">
        <v>9686</v>
      </c>
      <c r="J7" s="239">
        <f t="shared" si="2"/>
        <v>19468</v>
      </c>
      <c r="K7" s="240">
        <f aca="true" t="shared" si="8" ref="K7:K12">K16+K25</f>
        <v>9850</v>
      </c>
      <c r="L7" s="241">
        <f t="shared" si="3"/>
        <v>9618</v>
      </c>
      <c r="M7" s="239">
        <f t="shared" si="4"/>
        <v>18915</v>
      </c>
      <c r="N7" s="240">
        <f aca="true" t="shared" si="9" ref="N7:N12">N16+N25</f>
        <v>9533</v>
      </c>
      <c r="O7" s="241">
        <f t="shared" si="5"/>
        <v>9382</v>
      </c>
      <c r="P7" s="239">
        <f t="shared" si="6"/>
        <v>19121</v>
      </c>
      <c r="Q7" s="240">
        <f aca="true" t="shared" si="10" ref="Q7:Q12">Q16+Q25</f>
        <v>9604</v>
      </c>
      <c r="R7" s="241">
        <f t="shared" si="7"/>
        <v>9517</v>
      </c>
    </row>
    <row r="8" spans="1:18" s="235" customFormat="1" ht="25.5" customHeight="1">
      <c r="A8" s="236"/>
      <c r="B8" s="237" t="s">
        <v>89</v>
      </c>
      <c r="C8" s="238"/>
      <c r="D8" s="239">
        <f t="shared" si="0"/>
        <v>19179</v>
      </c>
      <c r="E8" s="240">
        <v>9733</v>
      </c>
      <c r="F8" s="241">
        <v>9446</v>
      </c>
      <c r="G8" s="239">
        <f t="shared" si="1"/>
        <v>18600</v>
      </c>
      <c r="H8" s="240">
        <v>9426</v>
      </c>
      <c r="I8" s="241">
        <v>9174</v>
      </c>
      <c r="J8" s="239">
        <f t="shared" si="2"/>
        <v>19548</v>
      </c>
      <c r="K8" s="240">
        <f t="shared" si="8"/>
        <v>9921</v>
      </c>
      <c r="L8" s="241">
        <f t="shared" si="3"/>
        <v>9627</v>
      </c>
      <c r="M8" s="239">
        <f t="shared" si="4"/>
        <v>19425</v>
      </c>
      <c r="N8" s="240">
        <f t="shared" si="9"/>
        <v>9926</v>
      </c>
      <c r="O8" s="241">
        <f t="shared" si="5"/>
        <v>9499</v>
      </c>
      <c r="P8" s="239">
        <f t="shared" si="6"/>
        <v>18955</v>
      </c>
      <c r="Q8" s="240">
        <f t="shared" si="10"/>
        <v>9513</v>
      </c>
      <c r="R8" s="241">
        <f t="shared" si="7"/>
        <v>9442</v>
      </c>
    </row>
    <row r="9" spans="1:18" s="235" customFormat="1" ht="25.5" customHeight="1">
      <c r="A9" s="236"/>
      <c r="B9" s="237" t="s">
        <v>90</v>
      </c>
      <c r="C9" s="238"/>
      <c r="D9" s="239">
        <f t="shared" si="0"/>
        <v>19716</v>
      </c>
      <c r="E9" s="240">
        <v>9863</v>
      </c>
      <c r="F9" s="241">
        <v>9853</v>
      </c>
      <c r="G9" s="239">
        <f t="shared" si="1"/>
        <v>19105</v>
      </c>
      <c r="H9" s="240">
        <v>9648</v>
      </c>
      <c r="I9" s="241">
        <v>9457</v>
      </c>
      <c r="J9" s="239">
        <f t="shared" si="2"/>
        <v>18522</v>
      </c>
      <c r="K9" s="240">
        <f t="shared" si="8"/>
        <v>9402</v>
      </c>
      <c r="L9" s="241">
        <f t="shared" si="3"/>
        <v>9120</v>
      </c>
      <c r="M9" s="239">
        <f t="shared" si="4"/>
        <v>19488</v>
      </c>
      <c r="N9" s="240">
        <f t="shared" si="9"/>
        <v>9849</v>
      </c>
      <c r="O9" s="241">
        <f t="shared" si="5"/>
        <v>9639</v>
      </c>
      <c r="P9" s="239">
        <f t="shared" si="6"/>
        <v>19329</v>
      </c>
      <c r="Q9" s="240">
        <f t="shared" si="10"/>
        <v>9759</v>
      </c>
      <c r="R9" s="241">
        <f t="shared" si="7"/>
        <v>9570</v>
      </c>
    </row>
    <row r="10" spans="1:18" s="235" customFormat="1" ht="25.5" customHeight="1">
      <c r="A10" s="236"/>
      <c r="B10" s="237" t="s">
        <v>91</v>
      </c>
      <c r="C10" s="238"/>
      <c r="D10" s="239">
        <f t="shared" si="0"/>
        <v>19798</v>
      </c>
      <c r="E10" s="240">
        <v>9897</v>
      </c>
      <c r="F10" s="241">
        <v>9901</v>
      </c>
      <c r="G10" s="239">
        <f t="shared" si="1"/>
        <v>19683</v>
      </c>
      <c r="H10" s="240">
        <v>9833</v>
      </c>
      <c r="I10" s="241">
        <v>9850</v>
      </c>
      <c r="J10" s="239">
        <f t="shared" si="2"/>
        <v>19044</v>
      </c>
      <c r="K10" s="240">
        <f t="shared" si="8"/>
        <v>9627</v>
      </c>
      <c r="L10" s="241">
        <f t="shared" si="3"/>
        <v>9417</v>
      </c>
      <c r="M10" s="239">
        <f t="shared" si="4"/>
        <v>18487</v>
      </c>
      <c r="N10" s="240">
        <f t="shared" si="9"/>
        <v>9416</v>
      </c>
      <c r="O10" s="241">
        <f t="shared" si="5"/>
        <v>9071</v>
      </c>
      <c r="P10" s="239">
        <f t="shared" si="6"/>
        <v>19310</v>
      </c>
      <c r="Q10" s="240">
        <f t="shared" si="10"/>
        <v>9805</v>
      </c>
      <c r="R10" s="241">
        <f t="shared" si="7"/>
        <v>9505</v>
      </c>
    </row>
    <row r="11" spans="1:18" s="235" customFormat="1" ht="25.5" customHeight="1">
      <c r="A11" s="236"/>
      <c r="B11" s="237" t="s">
        <v>92</v>
      </c>
      <c r="C11" s="238"/>
      <c r="D11" s="239">
        <f t="shared" si="0"/>
        <v>20801</v>
      </c>
      <c r="E11" s="240">
        <v>10480</v>
      </c>
      <c r="F11" s="241">
        <v>10321</v>
      </c>
      <c r="G11" s="239">
        <f t="shared" si="1"/>
        <v>19568</v>
      </c>
      <c r="H11" s="240">
        <v>9766</v>
      </c>
      <c r="I11" s="241">
        <v>9802</v>
      </c>
      <c r="J11" s="239">
        <f t="shared" si="2"/>
        <v>19456</v>
      </c>
      <c r="K11" s="240">
        <f t="shared" si="8"/>
        <v>9715</v>
      </c>
      <c r="L11" s="241">
        <f t="shared" si="3"/>
        <v>9741</v>
      </c>
      <c r="M11" s="239">
        <f t="shared" si="4"/>
        <v>18901</v>
      </c>
      <c r="N11" s="240">
        <f t="shared" si="9"/>
        <v>9570</v>
      </c>
      <c r="O11" s="241">
        <f t="shared" si="5"/>
        <v>9331</v>
      </c>
      <c r="P11" s="239">
        <f t="shared" si="6"/>
        <v>18282</v>
      </c>
      <c r="Q11" s="240">
        <f t="shared" si="10"/>
        <v>9250</v>
      </c>
      <c r="R11" s="241">
        <f t="shared" si="7"/>
        <v>9032</v>
      </c>
    </row>
    <row r="12" spans="1:18" s="235" customFormat="1" ht="25.5" customHeight="1">
      <c r="A12" s="236"/>
      <c r="B12" s="237" t="s">
        <v>92</v>
      </c>
      <c r="C12" s="242" t="s">
        <v>103</v>
      </c>
      <c r="D12" s="239">
        <f t="shared" si="0"/>
        <v>5965</v>
      </c>
      <c r="E12" s="240">
        <v>3408</v>
      </c>
      <c r="F12" s="241">
        <v>2557</v>
      </c>
      <c r="G12" s="239">
        <f t="shared" si="1"/>
        <v>5371</v>
      </c>
      <c r="H12" s="240">
        <v>3216</v>
      </c>
      <c r="I12" s="241">
        <v>2155</v>
      </c>
      <c r="J12" s="239">
        <f t="shared" si="2"/>
        <v>4441</v>
      </c>
      <c r="K12" s="240">
        <f t="shared" si="8"/>
        <v>2661</v>
      </c>
      <c r="L12" s="241">
        <f t="shared" si="3"/>
        <v>1780</v>
      </c>
      <c r="M12" s="239">
        <f t="shared" si="4"/>
        <v>4758</v>
      </c>
      <c r="N12" s="240">
        <f t="shared" si="9"/>
        <v>2812</v>
      </c>
      <c r="O12" s="241">
        <f t="shared" si="5"/>
        <v>1946</v>
      </c>
      <c r="P12" s="239">
        <f t="shared" si="6"/>
        <v>4312</v>
      </c>
      <c r="Q12" s="240">
        <f t="shared" si="10"/>
        <v>2565</v>
      </c>
      <c r="R12" s="241">
        <f t="shared" si="7"/>
        <v>1747</v>
      </c>
    </row>
    <row r="13" spans="1:18" s="235" customFormat="1" ht="25.5" customHeight="1">
      <c r="A13" s="243" t="s">
        <v>5</v>
      </c>
      <c r="B13" s="244"/>
      <c r="C13" s="245"/>
      <c r="D13" s="246">
        <f>SUM(D6:D12)</f>
        <v>123562</v>
      </c>
      <c r="E13" s="247">
        <f>SUM(E6:E12)</f>
        <v>62729</v>
      </c>
      <c r="F13" s="248">
        <f>D13-E13</f>
        <v>60833</v>
      </c>
      <c r="G13" s="246">
        <f aca="true" t="shared" si="11" ref="G13:L13">SUM(G6:G12)</f>
        <v>121387</v>
      </c>
      <c r="H13" s="247">
        <f t="shared" si="11"/>
        <v>61687</v>
      </c>
      <c r="I13" s="248">
        <f t="shared" si="11"/>
        <v>59700</v>
      </c>
      <c r="J13" s="246">
        <f t="shared" si="11"/>
        <v>119310</v>
      </c>
      <c r="K13" s="247">
        <f t="shared" si="11"/>
        <v>60641</v>
      </c>
      <c r="L13" s="248">
        <f t="shared" si="11"/>
        <v>58669</v>
      </c>
      <c r="M13" s="232">
        <f aca="true" t="shared" si="12" ref="M13:R13">SUM(M6:M12)</f>
        <v>119022</v>
      </c>
      <c r="N13" s="247">
        <f t="shared" si="12"/>
        <v>60693</v>
      </c>
      <c r="O13" s="248">
        <f t="shared" si="12"/>
        <v>58329</v>
      </c>
      <c r="P13" s="232">
        <f t="shared" si="12"/>
        <v>117922</v>
      </c>
      <c r="Q13" s="247">
        <f t="shared" si="12"/>
        <v>59948</v>
      </c>
      <c r="R13" s="248">
        <f t="shared" si="12"/>
        <v>57974</v>
      </c>
    </row>
    <row r="14" spans="1:18" s="235" customFormat="1" ht="22.5" customHeight="1">
      <c r="A14" s="225" t="s">
        <v>48</v>
      </c>
      <c r="B14" s="249"/>
      <c r="C14" s="250"/>
      <c r="D14" s="244"/>
      <c r="E14" s="251"/>
      <c r="F14" s="244"/>
      <c r="G14" s="244"/>
      <c r="H14" s="251"/>
      <c r="I14" s="251"/>
      <c r="J14" s="252"/>
      <c r="L14" s="1171"/>
      <c r="M14" s="252"/>
      <c r="O14" s="253"/>
      <c r="P14" s="252"/>
      <c r="R14" s="253"/>
    </row>
    <row r="15" spans="1:18" s="235" customFormat="1" ht="25.5" customHeight="1">
      <c r="A15" s="229" t="s">
        <v>102</v>
      </c>
      <c r="B15" s="230" t="s">
        <v>87</v>
      </c>
      <c r="C15" s="231"/>
      <c r="D15" s="232">
        <f aca="true" t="shared" si="13" ref="D15:D21">E15+F15</f>
        <v>18700</v>
      </c>
      <c r="E15" s="233">
        <v>9509</v>
      </c>
      <c r="F15" s="234">
        <v>9191</v>
      </c>
      <c r="G15" s="232">
        <f aca="true" t="shared" si="14" ref="G15:G21">H15+I15</f>
        <v>18594</v>
      </c>
      <c r="H15" s="233">
        <f>3150+2480+2063+1737</f>
        <v>9430</v>
      </c>
      <c r="I15" s="234">
        <f>3019+2397+2049+1699</f>
        <v>9164</v>
      </c>
      <c r="J15" s="232">
        <f aca="true" t="shared" si="15" ref="J15:J21">K15+L15</f>
        <v>18003</v>
      </c>
      <c r="K15" s="233">
        <v>9036</v>
      </c>
      <c r="L15" s="234">
        <v>8967</v>
      </c>
      <c r="M15" s="239">
        <f aca="true" t="shared" si="16" ref="M15:M21">N15+O15</f>
        <v>18201</v>
      </c>
      <c r="N15" s="233">
        <v>9174</v>
      </c>
      <c r="O15" s="234">
        <v>9027</v>
      </c>
      <c r="P15" s="239">
        <f aca="true" t="shared" si="17" ref="P15:P21">Q15+R15</f>
        <v>17800</v>
      </c>
      <c r="Q15" s="233">
        <v>9028</v>
      </c>
      <c r="R15" s="234">
        <v>8772</v>
      </c>
    </row>
    <row r="16" spans="1:18" s="235" customFormat="1" ht="25.5" customHeight="1">
      <c r="A16" s="236"/>
      <c r="B16" s="237" t="s">
        <v>88</v>
      </c>
      <c r="C16" s="238"/>
      <c r="D16" s="239">
        <f t="shared" si="13"/>
        <v>17862</v>
      </c>
      <c r="E16" s="240">
        <v>9054</v>
      </c>
      <c r="F16" s="241">
        <v>8808</v>
      </c>
      <c r="G16" s="239">
        <f t="shared" si="14"/>
        <v>18796</v>
      </c>
      <c r="H16" s="240">
        <f>3189+2480+2097+1741</f>
        <v>9507</v>
      </c>
      <c r="I16" s="241">
        <f>3111+2404+2089+1685</f>
        <v>9289</v>
      </c>
      <c r="J16" s="239">
        <f t="shared" si="15"/>
        <v>18636</v>
      </c>
      <c r="K16" s="240">
        <v>9427</v>
      </c>
      <c r="L16" s="241">
        <v>9209</v>
      </c>
      <c r="M16" s="239">
        <f t="shared" si="16"/>
        <v>18100</v>
      </c>
      <c r="N16" s="240">
        <v>9121</v>
      </c>
      <c r="O16" s="241">
        <v>8979</v>
      </c>
      <c r="P16" s="239">
        <f t="shared" si="17"/>
        <v>18275</v>
      </c>
      <c r="Q16" s="240">
        <v>9187</v>
      </c>
      <c r="R16" s="241">
        <v>9088</v>
      </c>
    </row>
    <row r="17" spans="1:18" s="235" customFormat="1" ht="25.5" customHeight="1">
      <c r="A17" s="236"/>
      <c r="B17" s="237" t="s">
        <v>89</v>
      </c>
      <c r="C17" s="238"/>
      <c r="D17" s="239">
        <f t="shared" si="13"/>
        <v>18445</v>
      </c>
      <c r="E17" s="240">
        <v>9364</v>
      </c>
      <c r="F17" s="241">
        <v>9081</v>
      </c>
      <c r="G17" s="239">
        <f t="shared" si="14"/>
        <v>17888</v>
      </c>
      <c r="H17" s="240">
        <f>3083+2356+2005+1619</f>
        <v>9063</v>
      </c>
      <c r="I17" s="241">
        <f>2968+2238+1935+1684</f>
        <v>8825</v>
      </c>
      <c r="J17" s="239">
        <f t="shared" si="15"/>
        <v>18725</v>
      </c>
      <c r="K17" s="240">
        <v>9500</v>
      </c>
      <c r="L17" s="241">
        <v>9225</v>
      </c>
      <c r="M17" s="239">
        <f t="shared" si="16"/>
        <v>18601</v>
      </c>
      <c r="N17" s="240">
        <v>9507</v>
      </c>
      <c r="O17" s="241">
        <v>9094</v>
      </c>
      <c r="P17" s="239">
        <f t="shared" si="17"/>
        <v>18149</v>
      </c>
      <c r="Q17" s="240">
        <v>9110</v>
      </c>
      <c r="R17" s="241">
        <v>9039</v>
      </c>
    </row>
    <row r="18" spans="1:18" s="235" customFormat="1" ht="25.5" customHeight="1">
      <c r="A18" s="236"/>
      <c r="B18" s="237" t="s">
        <v>90</v>
      </c>
      <c r="C18" s="238"/>
      <c r="D18" s="239">
        <f t="shared" si="13"/>
        <v>18986</v>
      </c>
      <c r="E18" s="240">
        <v>9523</v>
      </c>
      <c r="F18" s="241">
        <v>9463</v>
      </c>
      <c r="G18" s="239">
        <f t="shared" si="14"/>
        <v>18368</v>
      </c>
      <c r="H18" s="240">
        <f>3112+2368+2068+1728</f>
        <v>9276</v>
      </c>
      <c r="I18" s="241">
        <f>3032+2322+2075+1663</f>
        <v>9092</v>
      </c>
      <c r="J18" s="239">
        <f t="shared" si="15"/>
        <v>17819</v>
      </c>
      <c r="K18" s="240">
        <v>9034</v>
      </c>
      <c r="L18" s="241">
        <v>8785</v>
      </c>
      <c r="M18" s="239">
        <f t="shared" si="16"/>
        <v>18681</v>
      </c>
      <c r="N18" s="240">
        <v>9434</v>
      </c>
      <c r="O18" s="241">
        <v>9247</v>
      </c>
      <c r="P18" s="239">
        <f t="shared" si="17"/>
        <v>18506</v>
      </c>
      <c r="Q18" s="240">
        <v>9338</v>
      </c>
      <c r="R18" s="241">
        <v>9168</v>
      </c>
    </row>
    <row r="19" spans="1:18" s="235" customFormat="1" ht="25.5" customHeight="1">
      <c r="A19" s="236"/>
      <c r="B19" s="237" t="s">
        <v>91</v>
      </c>
      <c r="C19" s="238"/>
      <c r="D19" s="239">
        <f t="shared" si="13"/>
        <v>19047</v>
      </c>
      <c r="E19" s="240">
        <v>9534</v>
      </c>
      <c r="F19" s="241">
        <v>9513</v>
      </c>
      <c r="G19" s="239">
        <f t="shared" si="14"/>
        <v>18959</v>
      </c>
      <c r="H19" s="240">
        <f>3140+2439+2105+1810</f>
        <v>9494</v>
      </c>
      <c r="I19" s="241">
        <f>3218+2382+2072+1793</f>
        <v>9465</v>
      </c>
      <c r="J19" s="239">
        <f t="shared" si="15"/>
        <v>18309</v>
      </c>
      <c r="K19" s="240">
        <v>9261</v>
      </c>
      <c r="L19" s="241">
        <v>9048</v>
      </c>
      <c r="M19" s="239">
        <f t="shared" si="16"/>
        <v>17788</v>
      </c>
      <c r="N19" s="240">
        <v>9054</v>
      </c>
      <c r="O19" s="241">
        <v>8734</v>
      </c>
      <c r="P19" s="239">
        <f t="shared" si="17"/>
        <v>18510</v>
      </c>
      <c r="Q19" s="240">
        <v>9396</v>
      </c>
      <c r="R19" s="241">
        <v>9114</v>
      </c>
    </row>
    <row r="20" spans="1:18" s="235" customFormat="1" ht="25.5" customHeight="1">
      <c r="A20" s="236"/>
      <c r="B20" s="237" t="s">
        <v>92</v>
      </c>
      <c r="C20" s="238"/>
      <c r="D20" s="239">
        <f t="shared" si="13"/>
        <v>20005</v>
      </c>
      <c r="E20" s="240">
        <v>10087</v>
      </c>
      <c r="F20" s="241">
        <v>9918</v>
      </c>
      <c r="G20" s="239">
        <f t="shared" si="14"/>
        <v>18814</v>
      </c>
      <c r="H20" s="240">
        <f>3299+2344+2104+1659</f>
        <v>9406</v>
      </c>
      <c r="I20" s="241">
        <f>3186+2372+2063+1787</f>
        <v>9408</v>
      </c>
      <c r="J20" s="239">
        <f t="shared" si="15"/>
        <v>18735</v>
      </c>
      <c r="K20" s="240">
        <v>9375</v>
      </c>
      <c r="L20" s="241">
        <v>9360</v>
      </c>
      <c r="M20" s="239">
        <f t="shared" si="16"/>
        <v>18178</v>
      </c>
      <c r="N20" s="240">
        <v>9200</v>
      </c>
      <c r="O20" s="241">
        <v>8978</v>
      </c>
      <c r="P20" s="239">
        <f t="shared" si="17"/>
        <v>17588</v>
      </c>
      <c r="Q20" s="240">
        <v>8903</v>
      </c>
      <c r="R20" s="241">
        <v>8685</v>
      </c>
    </row>
    <row r="21" spans="1:18" s="235" customFormat="1" ht="25.5" customHeight="1">
      <c r="A21" s="236"/>
      <c r="B21" s="237" t="s">
        <v>92</v>
      </c>
      <c r="C21" s="242" t="s">
        <v>103</v>
      </c>
      <c r="D21" s="239">
        <f t="shared" si="13"/>
        <v>5692</v>
      </c>
      <c r="E21" s="240">
        <v>3264</v>
      </c>
      <c r="F21" s="241">
        <v>2428</v>
      </c>
      <c r="G21" s="239">
        <f t="shared" si="14"/>
        <v>5094</v>
      </c>
      <c r="H21" s="240">
        <f>1156+722+647+528</f>
        <v>3053</v>
      </c>
      <c r="I21" s="241">
        <f>795+496+406+344</f>
        <v>2041</v>
      </c>
      <c r="J21" s="239">
        <f t="shared" si="15"/>
        <v>4177</v>
      </c>
      <c r="K21" s="240">
        <v>2504</v>
      </c>
      <c r="L21" s="241">
        <v>1673</v>
      </c>
      <c r="M21" s="239">
        <f t="shared" si="16"/>
        <v>4458</v>
      </c>
      <c r="N21" s="240">
        <v>2638</v>
      </c>
      <c r="O21" s="241">
        <v>1820</v>
      </c>
      <c r="P21" s="239">
        <f t="shared" si="17"/>
        <v>4056</v>
      </c>
      <c r="Q21" s="240">
        <v>2407</v>
      </c>
      <c r="R21" s="241">
        <v>1649</v>
      </c>
    </row>
    <row r="22" spans="1:18" s="235" customFormat="1" ht="25.5" customHeight="1">
      <c r="A22" s="243" t="s">
        <v>5</v>
      </c>
      <c r="B22" s="244"/>
      <c r="C22" s="245"/>
      <c r="D22" s="246">
        <f>SUM(D15:D21)</f>
        <v>118737</v>
      </c>
      <c r="E22" s="247">
        <f>SUM(E15:E21)</f>
        <v>60335</v>
      </c>
      <c r="F22" s="248">
        <f>D22-E22</f>
        <v>58402</v>
      </c>
      <c r="G22" s="246">
        <f aca="true" t="shared" si="18" ref="G22:L22">SUM(G15:G21)</f>
        <v>116513</v>
      </c>
      <c r="H22" s="247">
        <f t="shared" si="18"/>
        <v>59229</v>
      </c>
      <c r="I22" s="248">
        <f t="shared" si="18"/>
        <v>57284</v>
      </c>
      <c r="J22" s="246">
        <f t="shared" si="18"/>
        <v>114404</v>
      </c>
      <c r="K22" s="247">
        <f t="shared" si="18"/>
        <v>58137</v>
      </c>
      <c r="L22" s="248">
        <f t="shared" si="18"/>
        <v>56267</v>
      </c>
      <c r="M22" s="232">
        <f aca="true" t="shared" si="19" ref="M22:R22">SUM(M15:M21)</f>
        <v>114007</v>
      </c>
      <c r="N22" s="247">
        <f t="shared" si="19"/>
        <v>58128</v>
      </c>
      <c r="O22" s="248">
        <f t="shared" si="19"/>
        <v>55879</v>
      </c>
      <c r="P22" s="232">
        <f t="shared" si="19"/>
        <v>112884</v>
      </c>
      <c r="Q22" s="247">
        <f t="shared" si="19"/>
        <v>57369</v>
      </c>
      <c r="R22" s="248">
        <f t="shared" si="19"/>
        <v>55515</v>
      </c>
    </row>
    <row r="23" spans="1:18" s="235" customFormat="1" ht="21.75" customHeight="1">
      <c r="A23" s="254" t="s">
        <v>49</v>
      </c>
      <c r="B23" s="252"/>
      <c r="C23" s="252"/>
      <c r="D23" s="255"/>
      <c r="E23" s="255"/>
      <c r="F23" s="255"/>
      <c r="G23" s="255"/>
      <c r="H23" s="255"/>
      <c r="I23" s="255"/>
      <c r="J23" s="252"/>
      <c r="L23" s="252"/>
      <c r="M23" s="252"/>
      <c r="O23" s="256"/>
      <c r="P23" s="252"/>
      <c r="R23" s="256"/>
    </row>
    <row r="24" spans="1:18" s="235" customFormat="1" ht="25.5" customHeight="1">
      <c r="A24" s="229" t="s">
        <v>102</v>
      </c>
      <c r="B24" s="230" t="s">
        <v>87</v>
      </c>
      <c r="C24" s="231"/>
      <c r="D24" s="232">
        <f aca="true" t="shared" si="20" ref="D24:I24">D6-D15</f>
        <v>825</v>
      </c>
      <c r="E24" s="233">
        <f t="shared" si="20"/>
        <v>419</v>
      </c>
      <c r="F24" s="234">
        <f t="shared" si="20"/>
        <v>406</v>
      </c>
      <c r="G24" s="232">
        <f t="shared" si="20"/>
        <v>843</v>
      </c>
      <c r="H24" s="233">
        <f t="shared" si="20"/>
        <v>431</v>
      </c>
      <c r="I24" s="234">
        <f t="shared" si="20"/>
        <v>412</v>
      </c>
      <c r="J24" s="232">
        <f aca="true" t="shared" si="21" ref="J24:J30">K24+L24</f>
        <v>828</v>
      </c>
      <c r="K24" s="233">
        <v>429</v>
      </c>
      <c r="L24" s="234">
        <v>399</v>
      </c>
      <c r="M24" s="239">
        <f aca="true" t="shared" si="22" ref="M24:M30">N24+O24</f>
        <v>847</v>
      </c>
      <c r="N24" s="233">
        <v>413</v>
      </c>
      <c r="O24" s="234">
        <v>434</v>
      </c>
      <c r="P24" s="239">
        <f aca="true" t="shared" si="23" ref="P24:P30">Q24+R24</f>
        <v>813</v>
      </c>
      <c r="Q24" s="233">
        <v>424</v>
      </c>
      <c r="R24" s="234">
        <v>389</v>
      </c>
    </row>
    <row r="25" spans="1:18" s="235" customFormat="1" ht="25.5" customHeight="1">
      <c r="A25" s="236"/>
      <c r="B25" s="237" t="s">
        <v>88</v>
      </c>
      <c r="C25" s="238"/>
      <c r="D25" s="239">
        <f aca="true" t="shared" si="24" ref="D25:I31">D7-D16</f>
        <v>716</v>
      </c>
      <c r="E25" s="240">
        <f t="shared" si="24"/>
        <v>366</v>
      </c>
      <c r="F25" s="241">
        <f t="shared" si="24"/>
        <v>350</v>
      </c>
      <c r="G25" s="239">
        <f t="shared" si="24"/>
        <v>827</v>
      </c>
      <c r="H25" s="240">
        <f t="shared" si="24"/>
        <v>430</v>
      </c>
      <c r="I25" s="241">
        <f t="shared" si="24"/>
        <v>397</v>
      </c>
      <c r="J25" s="239">
        <f t="shared" si="21"/>
        <v>832</v>
      </c>
      <c r="K25" s="240">
        <v>423</v>
      </c>
      <c r="L25" s="241">
        <v>409</v>
      </c>
      <c r="M25" s="239">
        <f t="shared" si="22"/>
        <v>815</v>
      </c>
      <c r="N25" s="240">
        <v>412</v>
      </c>
      <c r="O25" s="241">
        <v>403</v>
      </c>
      <c r="P25" s="239">
        <f t="shared" si="23"/>
        <v>846</v>
      </c>
      <c r="Q25" s="240">
        <v>417</v>
      </c>
      <c r="R25" s="241">
        <v>429</v>
      </c>
    </row>
    <row r="26" spans="1:18" s="235" customFormat="1" ht="25.5" customHeight="1">
      <c r="A26" s="236"/>
      <c r="B26" s="237" t="s">
        <v>89</v>
      </c>
      <c r="C26" s="238"/>
      <c r="D26" s="239">
        <f aca="true" t="shared" si="25" ref="D26:F31">D8-D17</f>
        <v>734</v>
      </c>
      <c r="E26" s="240">
        <f t="shared" si="25"/>
        <v>369</v>
      </c>
      <c r="F26" s="241">
        <f t="shared" si="25"/>
        <v>365</v>
      </c>
      <c r="G26" s="239">
        <f t="shared" si="24"/>
        <v>712</v>
      </c>
      <c r="H26" s="240">
        <f t="shared" si="24"/>
        <v>363</v>
      </c>
      <c r="I26" s="241">
        <f t="shared" si="24"/>
        <v>349</v>
      </c>
      <c r="J26" s="239">
        <f t="shared" si="21"/>
        <v>823</v>
      </c>
      <c r="K26" s="240">
        <v>421</v>
      </c>
      <c r="L26" s="241">
        <v>402</v>
      </c>
      <c r="M26" s="239">
        <f t="shared" si="22"/>
        <v>824</v>
      </c>
      <c r="N26" s="240">
        <v>419</v>
      </c>
      <c r="O26" s="241">
        <v>405</v>
      </c>
      <c r="P26" s="239">
        <f t="shared" si="23"/>
        <v>806</v>
      </c>
      <c r="Q26" s="240">
        <v>403</v>
      </c>
      <c r="R26" s="241">
        <v>403</v>
      </c>
    </row>
    <row r="27" spans="1:18" s="235" customFormat="1" ht="25.5" customHeight="1">
      <c r="A27" s="236"/>
      <c r="B27" s="237" t="s">
        <v>90</v>
      </c>
      <c r="C27" s="238"/>
      <c r="D27" s="239">
        <f t="shared" si="25"/>
        <v>730</v>
      </c>
      <c r="E27" s="240">
        <f t="shared" si="25"/>
        <v>340</v>
      </c>
      <c r="F27" s="241">
        <f t="shared" si="25"/>
        <v>390</v>
      </c>
      <c r="G27" s="239">
        <f t="shared" si="24"/>
        <v>737</v>
      </c>
      <c r="H27" s="240">
        <f t="shared" si="24"/>
        <v>372</v>
      </c>
      <c r="I27" s="241">
        <f t="shared" si="24"/>
        <v>365</v>
      </c>
      <c r="J27" s="239">
        <f t="shared" si="21"/>
        <v>703</v>
      </c>
      <c r="K27" s="240">
        <v>368</v>
      </c>
      <c r="L27" s="241">
        <v>335</v>
      </c>
      <c r="M27" s="239">
        <f t="shared" si="22"/>
        <v>807</v>
      </c>
      <c r="N27" s="240">
        <v>415</v>
      </c>
      <c r="O27" s="241">
        <v>392</v>
      </c>
      <c r="P27" s="239">
        <f t="shared" si="23"/>
        <v>823</v>
      </c>
      <c r="Q27" s="240">
        <v>421</v>
      </c>
      <c r="R27" s="241">
        <v>402</v>
      </c>
    </row>
    <row r="28" spans="1:18" s="235" customFormat="1" ht="25.5" customHeight="1">
      <c r="A28" s="236"/>
      <c r="B28" s="237" t="s">
        <v>91</v>
      </c>
      <c r="C28" s="238"/>
      <c r="D28" s="239">
        <f t="shared" si="25"/>
        <v>751</v>
      </c>
      <c r="E28" s="240">
        <f t="shared" si="25"/>
        <v>363</v>
      </c>
      <c r="F28" s="241">
        <f t="shared" si="25"/>
        <v>388</v>
      </c>
      <c r="G28" s="239">
        <f t="shared" si="24"/>
        <v>724</v>
      </c>
      <c r="H28" s="240">
        <f t="shared" si="24"/>
        <v>339</v>
      </c>
      <c r="I28" s="241">
        <f t="shared" si="24"/>
        <v>385</v>
      </c>
      <c r="J28" s="239">
        <f t="shared" si="21"/>
        <v>735</v>
      </c>
      <c r="K28" s="240">
        <v>366</v>
      </c>
      <c r="L28" s="241">
        <v>369</v>
      </c>
      <c r="M28" s="239">
        <f t="shared" si="22"/>
        <v>699</v>
      </c>
      <c r="N28" s="240">
        <v>362</v>
      </c>
      <c r="O28" s="241">
        <v>337</v>
      </c>
      <c r="P28" s="239">
        <f t="shared" si="23"/>
        <v>800</v>
      </c>
      <c r="Q28" s="240">
        <v>409</v>
      </c>
      <c r="R28" s="241">
        <v>391</v>
      </c>
    </row>
    <row r="29" spans="1:18" s="235" customFormat="1" ht="25.5" customHeight="1">
      <c r="A29" s="236"/>
      <c r="B29" s="237" t="s">
        <v>92</v>
      </c>
      <c r="C29" s="238"/>
      <c r="D29" s="239">
        <f t="shared" si="25"/>
        <v>796</v>
      </c>
      <c r="E29" s="240">
        <f t="shared" si="25"/>
        <v>393</v>
      </c>
      <c r="F29" s="241">
        <f t="shared" si="25"/>
        <v>403</v>
      </c>
      <c r="G29" s="239">
        <f t="shared" si="24"/>
        <v>754</v>
      </c>
      <c r="H29" s="240">
        <f t="shared" si="24"/>
        <v>360</v>
      </c>
      <c r="I29" s="241">
        <f t="shared" si="24"/>
        <v>394</v>
      </c>
      <c r="J29" s="239">
        <f t="shared" si="21"/>
        <v>721</v>
      </c>
      <c r="K29" s="240">
        <v>340</v>
      </c>
      <c r="L29" s="241">
        <v>381</v>
      </c>
      <c r="M29" s="239">
        <f t="shared" si="22"/>
        <v>723</v>
      </c>
      <c r="N29" s="240">
        <v>370</v>
      </c>
      <c r="O29" s="241">
        <v>353</v>
      </c>
      <c r="P29" s="239">
        <f t="shared" si="23"/>
        <v>694</v>
      </c>
      <c r="Q29" s="240">
        <v>347</v>
      </c>
      <c r="R29" s="241">
        <v>347</v>
      </c>
    </row>
    <row r="30" spans="1:18" s="235" customFormat="1" ht="25.5" customHeight="1">
      <c r="A30" s="236"/>
      <c r="B30" s="237" t="s">
        <v>92</v>
      </c>
      <c r="C30" s="242" t="s">
        <v>103</v>
      </c>
      <c r="D30" s="239">
        <f t="shared" si="25"/>
        <v>273</v>
      </c>
      <c r="E30" s="240">
        <f t="shared" si="25"/>
        <v>144</v>
      </c>
      <c r="F30" s="241">
        <f t="shared" si="25"/>
        <v>129</v>
      </c>
      <c r="G30" s="239">
        <f t="shared" si="24"/>
        <v>277</v>
      </c>
      <c r="H30" s="240">
        <f t="shared" si="24"/>
        <v>163</v>
      </c>
      <c r="I30" s="241">
        <f t="shared" si="24"/>
        <v>114</v>
      </c>
      <c r="J30" s="239">
        <f t="shared" si="21"/>
        <v>264</v>
      </c>
      <c r="K30" s="240">
        <v>157</v>
      </c>
      <c r="L30" s="241">
        <v>107</v>
      </c>
      <c r="M30" s="239">
        <f t="shared" si="22"/>
        <v>300</v>
      </c>
      <c r="N30" s="240">
        <v>174</v>
      </c>
      <c r="O30" s="241">
        <v>126</v>
      </c>
      <c r="P30" s="239">
        <f t="shared" si="23"/>
        <v>256</v>
      </c>
      <c r="Q30" s="240">
        <v>158</v>
      </c>
      <c r="R30" s="241">
        <v>98</v>
      </c>
    </row>
    <row r="31" spans="1:18" s="235" customFormat="1" ht="25.5" customHeight="1">
      <c r="A31" s="243" t="s">
        <v>5</v>
      </c>
      <c r="B31" s="244"/>
      <c r="C31" s="257"/>
      <c r="D31" s="246">
        <f t="shared" si="25"/>
        <v>4825</v>
      </c>
      <c r="E31" s="247">
        <f t="shared" si="25"/>
        <v>2394</v>
      </c>
      <c r="F31" s="248">
        <f t="shared" si="25"/>
        <v>2431</v>
      </c>
      <c r="G31" s="246">
        <f t="shared" si="24"/>
        <v>4874</v>
      </c>
      <c r="H31" s="247">
        <f t="shared" si="24"/>
        <v>2458</v>
      </c>
      <c r="I31" s="248">
        <f t="shared" si="24"/>
        <v>2416</v>
      </c>
      <c r="J31" s="246">
        <f aca="true" t="shared" si="26" ref="J31:O31">SUM(J24:J30)</f>
        <v>4906</v>
      </c>
      <c r="K31" s="247">
        <f t="shared" si="26"/>
        <v>2504</v>
      </c>
      <c r="L31" s="248">
        <f t="shared" si="26"/>
        <v>2402</v>
      </c>
      <c r="M31" s="246">
        <f t="shared" si="26"/>
        <v>5015</v>
      </c>
      <c r="N31" s="247">
        <f t="shared" si="26"/>
        <v>2565</v>
      </c>
      <c r="O31" s="248">
        <f t="shared" si="26"/>
        <v>2450</v>
      </c>
      <c r="P31" s="246">
        <f>SUM(P24:P30)</f>
        <v>5038</v>
      </c>
      <c r="Q31" s="247">
        <f>SUM(Q24:Q30)</f>
        <v>2579</v>
      </c>
      <c r="R31" s="248">
        <f>SUM(R24:R30)</f>
        <v>2459</v>
      </c>
    </row>
    <row r="32" ht="21.75" customHeight="1">
      <c r="B32" s="220" t="s">
        <v>104</v>
      </c>
    </row>
  </sheetData>
  <sheetProtection/>
  <mergeCells count="6">
    <mergeCell ref="M3:O3"/>
    <mergeCell ref="A3:C4"/>
    <mergeCell ref="G3:I3"/>
    <mergeCell ref="J3:L3"/>
    <mergeCell ref="D3:F3"/>
    <mergeCell ref="P3:R3"/>
  </mergeCells>
  <printOptions/>
  <pageMargins left="0.68" right="0.35" top="0.75" bottom="0.23" header="0.5" footer="0.19"/>
  <pageSetup horizontalDpi="600" verticalDpi="600" orientation="portrait" paperSize="9" r:id="rId1"/>
  <headerFooter alignWithMargins="0">
    <oddHeader>&amp;C&amp;"Times New Roman,Regular"&amp;11- 14 -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 of Education</dc:creator>
  <cp:keywords/>
  <dc:description/>
  <cp:lastModifiedBy>M.O.E</cp:lastModifiedBy>
  <cp:lastPrinted>2009-09-23T05:31:00Z</cp:lastPrinted>
  <dcterms:created xsi:type="dcterms:W3CDTF">2007-09-10T05:31:42Z</dcterms:created>
  <dcterms:modified xsi:type="dcterms:W3CDTF">2009-09-23T08:19:56Z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xd_Signatu">
    <vt:lpwstr/>
  </property>
  <property fmtid="{D5CDD505-2E9C-101B-9397-08002B2CF9AE}" pid="5" name="TemplateU">
    <vt:lpwstr/>
  </property>
  <property fmtid="{D5CDD505-2E9C-101B-9397-08002B2CF9AE}" pid="6" name="PublishingRollupIma">
    <vt:lpwstr/>
  </property>
  <property fmtid="{D5CDD505-2E9C-101B-9397-08002B2CF9AE}" pid="7" name="Audien">
    <vt:lpwstr/>
  </property>
  <property fmtid="{D5CDD505-2E9C-101B-9397-08002B2CF9AE}" pid="8" name="Ord">
    <vt:lpwstr>199800.000000000</vt:lpwstr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PublishingContactPictu">
    <vt:lpwstr/>
  </property>
  <property fmtid="{D5CDD505-2E9C-101B-9397-08002B2CF9AE}" pid="13" name="PublishingVariationGroup">
    <vt:lpwstr/>
  </property>
  <property fmtid="{D5CDD505-2E9C-101B-9397-08002B2CF9AE}" pid="14" name="PublishingVariationRelationshipLinkField">
    <vt:lpwstr/>
  </property>
  <property fmtid="{D5CDD505-2E9C-101B-9397-08002B2CF9AE}" pid="15" name="PublishingContactNa">
    <vt:lpwstr/>
  </property>
  <property fmtid="{D5CDD505-2E9C-101B-9397-08002B2CF9AE}" pid="16" name="_SourceU">
    <vt:lpwstr/>
  </property>
  <property fmtid="{D5CDD505-2E9C-101B-9397-08002B2CF9AE}" pid="17" name="_SharedFileInd">
    <vt:lpwstr/>
  </property>
  <property fmtid="{D5CDD505-2E9C-101B-9397-08002B2CF9AE}" pid="18" name="Commen">
    <vt:lpwstr/>
  </property>
  <property fmtid="{D5CDD505-2E9C-101B-9397-08002B2CF9AE}" pid="19" name="PublishingContactEma">
    <vt:lpwstr/>
  </property>
  <property fmtid="{D5CDD505-2E9C-101B-9397-08002B2CF9AE}" pid="20" name="PublishingPageLayo">
    <vt:lpwstr/>
  </property>
</Properties>
</file>